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包头市" sheetId="2" r:id="rId2"/>
    <sheet name="昆区" sheetId="3" r:id="rId3"/>
    <sheet name="青山" sheetId="4" r:id="rId4"/>
    <sheet name="东河区" sheetId="5" r:id="rId5"/>
    <sheet name="九原区" sheetId="6" r:id="rId6"/>
    <sheet name="石拐区" sheetId="7" r:id="rId7"/>
    <sheet name="土右旗" sheetId="8" r:id="rId8"/>
    <sheet name="达茂旗" sheetId="9" r:id="rId9"/>
    <sheet name="固阳县" sheetId="10" r:id="rId10"/>
    <sheet name="高新区" sheetId="11" r:id="rId11"/>
  </sheets>
  <definedNames>
    <definedName name="_xlnm.Print_Titles" localSheetId="1">'包头市'!$2:$3</definedName>
  </definedNames>
  <calcPr fullCalcOnLoad="1"/>
</workbook>
</file>

<file path=xl/sharedStrings.xml><?xml version="1.0" encoding="utf-8"?>
<sst xmlns="http://schemas.openxmlformats.org/spreadsheetml/2006/main" count="942" uniqueCount="348">
  <si>
    <t>辖区服务人口总数</t>
  </si>
  <si>
    <t>健康教育</t>
  </si>
  <si>
    <t>居民健康档案管理</t>
  </si>
  <si>
    <t>孕产妇健康管理</t>
  </si>
  <si>
    <t>印刷健康教育宣传资料种类数</t>
  </si>
  <si>
    <t>开展公众健康咨询活动次数</t>
  </si>
  <si>
    <t>举办健康知识讲座次数</t>
  </si>
  <si>
    <t>服务内容</t>
  </si>
  <si>
    <t>孕12周之前建册的人数</t>
  </si>
  <si>
    <t>按照规范要求在孕期接受5次及以上产前随访服务的人数</t>
  </si>
  <si>
    <t>产后28天内接受过产后访视的产妇人数</t>
  </si>
  <si>
    <t>按照规范要求进行高血压患者管理的人数</t>
  </si>
  <si>
    <t>最近一次随访血压达标人数</t>
  </si>
  <si>
    <t>按照要求进行糖尿病患者健康管理人数</t>
  </si>
  <si>
    <t>最近一次随访空腹血糖达标人数</t>
  </si>
  <si>
    <t>15岁及以上人口重性精神病患病总人数</t>
  </si>
  <si>
    <t>按照规范要求进行管理的确诊重性精神疾病患者数</t>
  </si>
  <si>
    <t>2型糖尿病患者健康管理</t>
  </si>
  <si>
    <t>传染病疫情报告率</t>
  </si>
  <si>
    <t>传染病疫情报告及时率</t>
  </si>
  <si>
    <t>突发公共卫生事件相关信息报告率</t>
  </si>
  <si>
    <t>卫生监督协管信息报告率</t>
  </si>
  <si>
    <t>传染病及突发公共卫生事件报告和处理</t>
  </si>
  <si>
    <t>重性精神疾病患者健康管理</t>
  </si>
  <si>
    <t>高血压患者健康管理</t>
  </si>
  <si>
    <t>旗县区名称</t>
  </si>
  <si>
    <t>合 计</t>
  </si>
  <si>
    <t>孕产妇系统管理人数</t>
  </si>
  <si>
    <t xml:space="preserve">          2012年包头市苏木乡镇卫生院基本公共卫生服务工作任务核定表</t>
  </si>
  <si>
    <t>建立电子健康档案人数</t>
  </si>
  <si>
    <t>规范建立纸质健康档案人数</t>
  </si>
  <si>
    <t>预防接种</t>
  </si>
  <si>
    <t>居民健康知识知晓率</t>
  </si>
  <si>
    <t>预防接种建证率</t>
  </si>
  <si>
    <t>纳入国家免疫规划的疫苗接种率</t>
  </si>
  <si>
    <t>播放音像资料种类数</t>
  </si>
  <si>
    <t>0-6岁儿童健康管理</t>
  </si>
  <si>
    <t>老年人健康管理</t>
  </si>
  <si>
    <t>年内管理人数</t>
  </si>
  <si>
    <t>年内应管理人数</t>
  </si>
  <si>
    <t>年度接受1次及以上访视的新生儿数</t>
  </si>
  <si>
    <t>年度接受1次及以上随访的0—6岁儿童数</t>
  </si>
  <si>
    <t>年度按系统管理要求管理的0—6岁儿童数</t>
  </si>
  <si>
    <t>年度预计管理0-6岁儿童数</t>
  </si>
  <si>
    <t>年度预计管理新生儿活产数</t>
  </si>
  <si>
    <t>年度65岁及以上接受健康管理人数</t>
  </si>
  <si>
    <t>年度65岁及以上接受健康体检人数</t>
  </si>
  <si>
    <t>登记在册的确诊重性精神疾病患者数</t>
  </si>
  <si>
    <t>居民满意度</t>
  </si>
  <si>
    <t>卫生监督协管</t>
  </si>
  <si>
    <t>以上任务核定指标，均指大于或等于此数据。</t>
  </si>
  <si>
    <t>年度预计管理65岁及以上老年人数</t>
  </si>
  <si>
    <t>辖区内高血压患者总人数</t>
  </si>
  <si>
    <t>辖区内2型糖尿病患者总人数</t>
  </si>
  <si>
    <t>昆  区</t>
  </si>
  <si>
    <t>青 山 区</t>
  </si>
  <si>
    <t>东 河 区</t>
  </si>
  <si>
    <t>九 原 区</t>
  </si>
  <si>
    <t>石 拐 区</t>
  </si>
  <si>
    <t>土 右 旗</t>
  </si>
  <si>
    <t>达 茂 旗</t>
  </si>
  <si>
    <t>固 阳 县</t>
  </si>
  <si>
    <t>高 新 区</t>
  </si>
  <si>
    <r>
      <t xml:space="preserve">昆区       </t>
    </r>
    <r>
      <rPr>
        <sz val="12"/>
        <rFont val="仿宋_GB2312"/>
        <family val="3"/>
      </rPr>
      <t>卫生局（盖章）</t>
    </r>
  </si>
  <si>
    <t>0-6岁儿童健康管理</t>
  </si>
  <si>
    <t>老年人健康管理</t>
  </si>
  <si>
    <t>规范建立纸质健康档案人数</t>
  </si>
  <si>
    <t>孕12周之前建册的人数</t>
  </si>
  <si>
    <t>按照规范要求在孕期接受5次及以上产前随访服务的人数</t>
  </si>
  <si>
    <t>产后28天内接受过产后访视的产妇人数</t>
  </si>
  <si>
    <t>孕产妇系统管理人数</t>
  </si>
  <si>
    <t>年度预计管理65岁及以上老年人数</t>
  </si>
  <si>
    <t>年度65岁及以上接受健康管理人数</t>
  </si>
  <si>
    <t>年度65岁及以上接受健康体检人数</t>
  </si>
  <si>
    <t>辖区内高血压患者总人数</t>
  </si>
  <si>
    <t>年内应管理人数</t>
  </si>
  <si>
    <t>按照规范要求进行高血压患者管理的人数</t>
  </si>
  <si>
    <t>最近一次随访血压达标人数</t>
  </si>
  <si>
    <t>辖区内2型糖尿病患者总人数</t>
  </si>
  <si>
    <t>按照要求进行糖尿病患者健康管理人数</t>
  </si>
  <si>
    <t>最近一次随访空腹血糖达标人数</t>
  </si>
  <si>
    <t>卫生院名称</t>
  </si>
  <si>
    <t>新城中心卫生院</t>
  </si>
  <si>
    <t>卜尔汉图镇卫生院</t>
  </si>
  <si>
    <t>昆河镇卫生院</t>
  </si>
  <si>
    <t>以上任务核定指标，均指大于或等于此数据。</t>
  </si>
  <si>
    <r>
      <t xml:space="preserve">青山区       </t>
    </r>
    <r>
      <rPr>
        <sz val="12"/>
        <rFont val="仿宋_GB2312"/>
        <family val="3"/>
      </rPr>
      <t>卫生局（盖章）</t>
    </r>
  </si>
  <si>
    <t>服务内容</t>
  </si>
  <si>
    <t>辖区服务人口总数</t>
  </si>
  <si>
    <t>居民健康档案管理</t>
  </si>
  <si>
    <t>健康教育</t>
  </si>
  <si>
    <t>0-6岁儿童健康管理</t>
  </si>
  <si>
    <t>孕产妇健康管理</t>
  </si>
  <si>
    <t>老年人健康管理</t>
  </si>
  <si>
    <t>高血压患者健康管理</t>
  </si>
  <si>
    <t>2型糖尿病患者健康管理</t>
  </si>
  <si>
    <t>重性精神疾病患者健康管理</t>
  </si>
  <si>
    <t>规范建立纸质健康档案人数</t>
  </si>
  <si>
    <t>建立电子健康档案人数</t>
  </si>
  <si>
    <t>印刷健康教育宣传资料种类数</t>
  </si>
  <si>
    <t>播放音像资料种类数</t>
  </si>
  <si>
    <t>开展公众健康咨询活动次数</t>
  </si>
  <si>
    <t>举办健康知识讲座次数</t>
  </si>
  <si>
    <t>居民健康知识知晓率</t>
  </si>
  <si>
    <t>预防接种建证率</t>
  </si>
  <si>
    <t>纳入国家免疫规划的疫苗接种率</t>
  </si>
  <si>
    <t>年度预计管理0-6岁儿童数</t>
  </si>
  <si>
    <t>年度预计管理新生儿活产数</t>
  </si>
  <si>
    <t>年度接受1次及以上访视的新生儿数</t>
  </si>
  <si>
    <t>年度接受1次及以上随访的0—6岁儿童数</t>
  </si>
  <si>
    <t>年度按系统管理要求管理的0—6岁儿童数</t>
  </si>
  <si>
    <t>15岁及以上人口重性精神病患病总人数</t>
  </si>
  <si>
    <t>登记在册的确诊重性精神疾病患者数</t>
  </si>
  <si>
    <t>年内管理人数</t>
  </si>
  <si>
    <t>按照规范要求进行管理的确诊重性精神疾病患者数</t>
  </si>
  <si>
    <t>青福镇卫生院</t>
  </si>
  <si>
    <t>兴胜镇卫生院</t>
  </si>
  <si>
    <r>
      <t xml:space="preserve">东河区       </t>
    </r>
    <r>
      <rPr>
        <sz val="12"/>
        <rFont val="仿宋_GB2312"/>
        <family val="3"/>
      </rPr>
      <t>卫生局（盖章）</t>
    </r>
  </si>
  <si>
    <t>服务内容</t>
  </si>
  <si>
    <t>辖区服务人口总数</t>
  </si>
  <si>
    <t>居民健康档案管理</t>
  </si>
  <si>
    <t>健康教育</t>
  </si>
  <si>
    <t>0-6岁儿童健康管理</t>
  </si>
  <si>
    <t>孕产妇健康管理</t>
  </si>
  <si>
    <t>老年人健康管理</t>
  </si>
  <si>
    <t>高血压患者健康管理</t>
  </si>
  <si>
    <t>2型糖尿病患者健康管理</t>
  </si>
  <si>
    <t>重性精神疾病患者健康管理</t>
  </si>
  <si>
    <t>规范建立纸质健康档案人数</t>
  </si>
  <si>
    <t>建立电子健康档案人数</t>
  </si>
  <si>
    <t>印刷健康教育宣传资料种类数</t>
  </si>
  <si>
    <t>播放音像资料种类数</t>
  </si>
  <si>
    <t>开展公众健康咨询活动次数</t>
  </si>
  <si>
    <t>举办健康知识讲座次数</t>
  </si>
  <si>
    <t>居民健康知识知晓率</t>
  </si>
  <si>
    <t>预防接种建证率</t>
  </si>
  <si>
    <t>纳入国家免疫规划的疫苗接种率</t>
  </si>
  <si>
    <t>年度预计管理0-6岁儿童数</t>
  </si>
  <si>
    <t>年度预计管理新生儿活产数</t>
  </si>
  <si>
    <t>年度接受1次及以上访视的新生儿数</t>
  </si>
  <si>
    <t>年度接受1次及以上随访的0—6岁儿童数</t>
  </si>
  <si>
    <t>年度按系统管理要求管理的0—6岁儿童数</t>
  </si>
  <si>
    <t>15岁及以上人口重性精神病患病总人数</t>
  </si>
  <si>
    <t>登记在册的确诊重性精神疾病患者数</t>
  </si>
  <si>
    <t>年内管理人数</t>
  </si>
  <si>
    <t>按照规范要求进行管理的确诊重性精神疾病患者数</t>
  </si>
  <si>
    <t>河东乡卫生院</t>
  </si>
  <si>
    <t>莎木佳卫生院</t>
  </si>
  <si>
    <t>沙尔沁镇中心卫生院</t>
  </si>
  <si>
    <t>合 计</t>
  </si>
  <si>
    <t>合 计</t>
  </si>
  <si>
    <t>以上任务核定指标，均指大于或等于此数据。</t>
  </si>
  <si>
    <t>合 计</t>
  </si>
  <si>
    <t>以上任务核定指标，均指大于或等于此数据。</t>
  </si>
  <si>
    <t>哈业胡同中心卫生院</t>
  </si>
  <si>
    <t>哈林格尔卫生院</t>
  </si>
  <si>
    <t>麻池镇中心卫生</t>
  </si>
  <si>
    <t>阿嘎如泰苏木卫生院</t>
  </si>
  <si>
    <t>服务内容</t>
  </si>
  <si>
    <t>辖区服务人口总数</t>
  </si>
  <si>
    <t>居民健康档案管理</t>
  </si>
  <si>
    <t>健康教育</t>
  </si>
  <si>
    <t>0-6岁儿童健康管理</t>
  </si>
  <si>
    <t>孕产妇健康管理</t>
  </si>
  <si>
    <t>老年人健康管理</t>
  </si>
  <si>
    <t>高血压患者健康管理</t>
  </si>
  <si>
    <t>2型糖尿病患者健康管理</t>
  </si>
  <si>
    <t>重性精神疾病患者健康管理</t>
  </si>
  <si>
    <t>规范建立纸质健康档案人数</t>
  </si>
  <si>
    <t>建立电子健康档案人数</t>
  </si>
  <si>
    <t>印刷健康教育宣传资料种类数</t>
  </si>
  <si>
    <t>播放音像资料种类数</t>
  </si>
  <si>
    <t>开展公众健康咨询活动次数</t>
  </si>
  <si>
    <t>举办健康知识讲座次数</t>
  </si>
  <si>
    <t>居民健康知识知晓率</t>
  </si>
  <si>
    <t>预防接种建证率</t>
  </si>
  <si>
    <t>纳入国家免疫规划的疫苗接种率</t>
  </si>
  <si>
    <t>年度预计管理0-6岁儿童数</t>
  </si>
  <si>
    <t>年度预计管理新生儿活产数</t>
  </si>
  <si>
    <t>年度接受1次及以上访视的新生儿数</t>
  </si>
  <si>
    <t>年度接受1次及以上随访的0—6岁儿童数</t>
  </si>
  <si>
    <t>年度按系统管理要求管理的0—6岁儿童数</t>
  </si>
  <si>
    <t>15岁及以上人口重性精神病患病总人数</t>
  </si>
  <si>
    <t>登记在册的确诊重性精神疾病患者数</t>
  </si>
  <si>
    <t>年内管理人数</t>
  </si>
  <si>
    <t>按照规范要求进行管理的确诊重性精神疾病患者数</t>
  </si>
  <si>
    <t>五当召镇卫生院</t>
  </si>
  <si>
    <t>以上任务核定指标，均指大于或等于此数据。</t>
  </si>
  <si>
    <r>
      <t xml:space="preserve">高新区       </t>
    </r>
    <r>
      <rPr>
        <sz val="12"/>
        <rFont val="仿宋_GB2312"/>
        <family val="3"/>
      </rPr>
      <t>卫生局（盖章）</t>
    </r>
  </si>
  <si>
    <t>万水泉卫生院</t>
  </si>
  <si>
    <r>
      <t xml:space="preserve">     固阳县       </t>
    </r>
    <r>
      <rPr>
        <sz val="12"/>
        <rFont val="仿宋_GB2312"/>
        <family val="3"/>
      </rPr>
      <t>卫生局（盖章）</t>
    </r>
  </si>
  <si>
    <t>服务内容</t>
  </si>
  <si>
    <t>辖区服务人口总数</t>
  </si>
  <si>
    <t>居民健康档案管理</t>
  </si>
  <si>
    <t>健康教育</t>
  </si>
  <si>
    <t>0-6岁儿童健康管理</t>
  </si>
  <si>
    <t>孕产妇健康管理</t>
  </si>
  <si>
    <t>老年人健康管理</t>
  </si>
  <si>
    <t>高血压患者健康管理</t>
  </si>
  <si>
    <t>2型糖尿病患者健康管理</t>
  </si>
  <si>
    <t>重性精神疾病患者健康管理</t>
  </si>
  <si>
    <t>规范建立纸质健康档案人数</t>
  </si>
  <si>
    <t>建立电子健康档案人数</t>
  </si>
  <si>
    <t>印刷健康教育宣传资料种类数</t>
  </si>
  <si>
    <t>播放音像资料种类数</t>
  </si>
  <si>
    <t>开展公众健康咨询活动次数</t>
  </si>
  <si>
    <t>举办健康知识讲座次数</t>
  </si>
  <si>
    <t>居民健康知识知晓率</t>
  </si>
  <si>
    <t>预防接种建证率</t>
  </si>
  <si>
    <t>纳入国家免疫规划的疫苗接种率</t>
  </si>
  <si>
    <t>年度预计管理0-6岁儿童数</t>
  </si>
  <si>
    <t>年度预计管理新生儿活产数</t>
  </si>
  <si>
    <t>年度预计管理65岁及以上老年人数</t>
  </si>
  <si>
    <t>年度65岁及以上接受健康管理人数</t>
  </si>
  <si>
    <t>年度65岁及以上接受健康体检人数</t>
  </si>
  <si>
    <t>辖区内高血压患者总人数</t>
  </si>
  <si>
    <t>年内应管理人数</t>
  </si>
  <si>
    <t>按照规范要求进行高血压患者管理的人数</t>
  </si>
  <si>
    <t>最近一次随访血压达标人数</t>
  </si>
  <si>
    <t>辖区内2型糖尿病患者总人数</t>
  </si>
  <si>
    <t>按照要求进行糖尿病患者健康管理人数</t>
  </si>
  <si>
    <t>最近一次随访空腹血糖达标人数</t>
  </si>
  <si>
    <t>15岁及以上人口重性精神病患病总人数</t>
  </si>
  <si>
    <t>登记在册的确诊重性精神疾病患者数</t>
  </si>
  <si>
    <t>年内管理人数</t>
  </si>
  <si>
    <t>按照规范要求进行管理的确诊重性精神疾病患者数</t>
  </si>
  <si>
    <t>金山镇中心卫生院</t>
  </si>
  <si>
    <t>忽鸡沟卫生院</t>
  </si>
  <si>
    <t>公益民卫生院</t>
  </si>
  <si>
    <t>东胜永卫生院</t>
  </si>
  <si>
    <t>新建中心卫生院</t>
  </si>
  <si>
    <t>下湿壕卫生院</t>
  </si>
  <si>
    <t>西斗铺中心卫生院</t>
  </si>
  <si>
    <t>红泥井卫生院</t>
  </si>
  <si>
    <t>怀朔镇中心卫生院</t>
  </si>
  <si>
    <t>白灵淖卫生院</t>
  </si>
  <si>
    <t>银号中心卫生院</t>
  </si>
  <si>
    <t>兴顺西中心卫生院</t>
  </si>
  <si>
    <t>合 计</t>
  </si>
  <si>
    <t>以上任务核定指标，均指大于或等于此数据。</t>
  </si>
  <si>
    <r>
      <t xml:space="preserve">     土右旗       </t>
    </r>
    <r>
      <rPr>
        <sz val="12"/>
        <rFont val="仿宋_GB2312"/>
        <family val="3"/>
      </rPr>
      <t>卫生局（盖章）</t>
    </r>
  </si>
  <si>
    <t>孕12周之前建册的人数</t>
  </si>
  <si>
    <t>按照规范要求在孕期接受5次及以上产前随访服务的人数</t>
  </si>
  <si>
    <t>产后28天内接受过产后访视的产妇人数</t>
  </si>
  <si>
    <t>孕产妇系统管理人数</t>
  </si>
  <si>
    <t>年度预计管理65岁及以上老年人数</t>
  </si>
  <si>
    <t>年度65岁及以上接受健康管理人数</t>
  </si>
  <si>
    <t>年度65岁及以上接受健康体检人数</t>
  </si>
  <si>
    <t>辖区内高血压患者总人数</t>
  </si>
  <si>
    <t>年内应管理人数</t>
  </si>
  <si>
    <t>按照规范要求进行高血压患者管理的人数</t>
  </si>
  <si>
    <t>最近一次随访血压达标人数</t>
  </si>
  <si>
    <t>辖区内2型糖尿病患者总人数</t>
  </si>
  <si>
    <t>按照要求进行糖尿病患者健康管理人数</t>
  </si>
  <si>
    <t>最近一次随访空腹血糖达标人数</t>
  </si>
  <si>
    <t>二十四</t>
  </si>
  <si>
    <t>二十四</t>
  </si>
  <si>
    <t>二十四</t>
  </si>
  <si>
    <t>沟门</t>
  </si>
  <si>
    <t>沟门</t>
  </si>
  <si>
    <t>沟门</t>
  </si>
  <si>
    <t>三道河</t>
  </si>
  <si>
    <t>三道河</t>
  </si>
  <si>
    <t>将军尧</t>
  </si>
  <si>
    <t>沙海子</t>
  </si>
  <si>
    <t>党三尧</t>
  </si>
  <si>
    <t>程奎海</t>
  </si>
  <si>
    <t>三间房</t>
  </si>
  <si>
    <t>明沙淖</t>
  </si>
  <si>
    <t>毛岱</t>
  </si>
  <si>
    <t>大城西</t>
  </si>
  <si>
    <t>大城西</t>
  </si>
  <si>
    <t>双龙</t>
  </si>
  <si>
    <t>双龙</t>
  </si>
  <si>
    <t>小召子</t>
  </si>
  <si>
    <t>小召子</t>
  </si>
  <si>
    <t>苏波盖</t>
  </si>
  <si>
    <t>苏波盖</t>
  </si>
  <si>
    <t>美岱召</t>
  </si>
  <si>
    <t>美岱召</t>
  </si>
  <si>
    <t>发彦申</t>
  </si>
  <si>
    <t>发彦申</t>
  </si>
  <si>
    <t>吴坝</t>
  </si>
  <si>
    <t>吴坝</t>
  </si>
  <si>
    <t>海子</t>
  </si>
  <si>
    <t>海子</t>
  </si>
  <si>
    <t>公山湾</t>
  </si>
  <si>
    <t>公山湾</t>
  </si>
  <si>
    <t>公山湾</t>
  </si>
  <si>
    <t>耳沁尧</t>
  </si>
  <si>
    <t>耳沁尧</t>
  </si>
  <si>
    <r>
      <t xml:space="preserve">     达茂旗       </t>
    </r>
    <r>
      <rPr>
        <sz val="12"/>
        <rFont val="仿宋_GB2312"/>
        <family val="3"/>
      </rPr>
      <t>卫生局（盖章）</t>
    </r>
  </si>
  <si>
    <t>卫生院名称</t>
  </si>
  <si>
    <t>石宝中心卫生院</t>
  </si>
  <si>
    <t>大苏吉卫生院</t>
  </si>
  <si>
    <t>坤兑滩卫生院</t>
  </si>
  <si>
    <t>西营盘卫生院</t>
  </si>
  <si>
    <t>小文公卫生院</t>
  </si>
  <si>
    <t>乌克中心卫生院</t>
  </si>
  <si>
    <t>腮忽洞卫生院</t>
  </si>
  <si>
    <t>乌兰忽洞卫生院</t>
  </si>
  <si>
    <t>西河卫生院</t>
  </si>
  <si>
    <t>都荣敖包卫生院</t>
  </si>
  <si>
    <t>红格塔拉卫生院</t>
  </si>
  <si>
    <t>巴音敖包卫生院</t>
  </si>
  <si>
    <t>巴音花卫生院</t>
  </si>
  <si>
    <t>红旗牧场卫生院</t>
  </si>
  <si>
    <t>达尔汗卫生院</t>
  </si>
  <si>
    <t>查干哈达卫生院</t>
  </si>
  <si>
    <t>额尔登敖包卫生院</t>
  </si>
  <si>
    <t>明安镇卫生院</t>
  </si>
  <si>
    <t>珠日和卫生院</t>
  </si>
  <si>
    <t>满都拉卫生院</t>
  </si>
  <si>
    <t>希拉穆仁卫生院</t>
  </si>
  <si>
    <t>青 山 区</t>
  </si>
  <si>
    <t>东 河 区</t>
  </si>
  <si>
    <t>九 原 区</t>
  </si>
  <si>
    <t>石 拐 区</t>
  </si>
  <si>
    <t>土 右 旗</t>
  </si>
  <si>
    <t>达 茂 旗</t>
  </si>
  <si>
    <t>固 阳 县</t>
  </si>
  <si>
    <t>高 新 区</t>
  </si>
  <si>
    <r>
      <t xml:space="preserve">石拐区      </t>
    </r>
    <r>
      <rPr>
        <sz val="12"/>
        <rFont val="仿宋_GB2312"/>
        <family val="3"/>
      </rPr>
      <t>卫生局（盖章）</t>
    </r>
  </si>
  <si>
    <t>五当镇召国庆卫生院</t>
  </si>
  <si>
    <t>五当召国庆镇卫生院</t>
  </si>
  <si>
    <r>
      <t xml:space="preserve">     九原区       </t>
    </r>
    <r>
      <rPr>
        <sz val="12"/>
        <rFont val="仿宋_GB2312"/>
        <family val="3"/>
      </rPr>
      <t>卫生局（盖章）</t>
    </r>
  </si>
  <si>
    <t>辖区内高血压患者总人数</t>
  </si>
  <si>
    <t>辖区内2型糖尿病患者总人数</t>
  </si>
  <si>
    <t>全巴图卫生院</t>
  </si>
  <si>
    <t>结核病患者推荐率</t>
  </si>
  <si>
    <t>结核病患者追踪率</t>
  </si>
  <si>
    <t>结核病患者规范管理率</t>
  </si>
  <si>
    <t>结核病防治核心信息知晓率</t>
  </si>
  <si>
    <t>医疗卫生人员布病防治技能考核达标率</t>
  </si>
  <si>
    <t>高危人群人间布病防治知识知晓率</t>
  </si>
  <si>
    <t xml:space="preserve">          2013年包头市苏木乡镇卫生院基本公共卫生服务工作任务核定表</t>
  </si>
  <si>
    <t>传染病及突发公共卫生事件报告和处理</t>
  </si>
  <si>
    <t>传染病及突发公共卫生事件报告和处理</t>
  </si>
  <si>
    <t>卫生监督协管</t>
  </si>
  <si>
    <t>卫生监督协管</t>
  </si>
  <si>
    <t xml:space="preserve">          2013年包头市苏木乡镇卫生院基本公共卫生服务工作任务核定表</t>
  </si>
  <si>
    <t>更新健康教育宣传栏次数</t>
  </si>
  <si>
    <t>更新健康教育宣传栏次数</t>
  </si>
  <si>
    <t>更新健康教育宣传栏次数</t>
  </si>
  <si>
    <r>
      <t xml:space="preserve">附件  </t>
    </r>
    <r>
      <rPr>
        <b/>
        <sz val="16"/>
        <rFont val="宋体"/>
        <family val="0"/>
      </rPr>
      <t xml:space="preserve">           包头市2013年苏木乡镇卫生院基本公共卫生服务工作任务核定表</t>
    </r>
  </si>
  <si>
    <t xml:space="preserve">          包头市2013年苏木乡镇卫生院基本公共卫生服务工作任务核定表</t>
  </si>
  <si>
    <t xml:space="preserve">          包头市2013年苏木乡镇卫生院基本公共卫生服务工作任务核定表</t>
  </si>
  <si>
    <t>www.med126.com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</si>
</sst>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&quot;￥&quot;#,##0.00"/>
    <numFmt numFmtId="193" formatCode="0.0_ "/>
    <numFmt numFmtId="194" formatCode="0.0%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sz val="12"/>
      <name val="仿宋_GB2312"/>
      <family val="3"/>
    </font>
    <font>
      <u val="single"/>
      <sz val="12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b/>
      <sz val="16"/>
      <name val="宋体"/>
      <family val="0"/>
    </font>
    <font>
      <sz val="16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仿宋_GB2312"/>
      <family val="3"/>
    </font>
    <font>
      <b/>
      <sz val="9"/>
      <name val="仿宋_GB2312"/>
      <family val="3"/>
    </font>
    <font>
      <b/>
      <sz val="10"/>
      <color indexed="59"/>
      <name val="仿宋_GB2312"/>
      <family val="3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5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191" fontId="0" fillId="0" borderId="0" xfId="0" applyNumberFormat="1" applyFont="1" applyAlignment="1">
      <alignment horizontal="center"/>
    </xf>
    <xf numFmtId="191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186" fontId="0" fillId="0" borderId="0" xfId="0" applyNumberFormat="1" applyFont="1" applyBorder="1" applyAlignment="1">
      <alignment horizontal="left" vertical="center"/>
    </xf>
    <xf numFmtId="186" fontId="2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185" fontId="1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9" fontId="1" fillId="24" borderId="11" xfId="0" applyNumberFormat="1" applyFont="1" applyFill="1" applyBorder="1" applyAlignment="1">
      <alignment horizontal="center" vertical="center"/>
    </xf>
    <xf numFmtId="184" fontId="1" fillId="24" borderId="10" xfId="0" applyNumberFormat="1" applyFont="1" applyFill="1" applyBorder="1" applyAlignment="1">
      <alignment horizontal="center" vertical="center"/>
    </xf>
    <xf numFmtId="9" fontId="3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184" fontId="30" fillId="24" borderId="10" xfId="0" applyNumberFormat="1" applyFont="1" applyFill="1" applyBorder="1" applyAlignment="1">
      <alignment horizontal="center" vertical="center"/>
    </xf>
    <xf numFmtId="9" fontId="30" fillId="24" borderId="11" xfId="0" applyNumberFormat="1" applyFont="1" applyFill="1" applyBorder="1" applyAlignment="1">
      <alignment horizontal="center" vertical="center"/>
    </xf>
    <xf numFmtId="184" fontId="30" fillId="24" borderId="10" xfId="0" applyNumberFormat="1" applyFont="1" applyFill="1" applyBorder="1" applyAlignment="1">
      <alignment vertical="center"/>
    </xf>
    <xf numFmtId="185" fontId="30" fillId="24" borderId="10" xfId="0" applyNumberFormat="1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186" fontId="3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191" fontId="10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191" fontId="0" fillId="0" borderId="12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184" fontId="1" fillId="24" borderId="10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right" wrapText="1"/>
    </xf>
    <xf numFmtId="0" fontId="9" fillId="0" borderId="11" xfId="0" applyFont="1" applyBorder="1" applyAlignment="1">
      <alignment horizontal="left" wrapText="1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5" fontId="11" fillId="0" borderId="0" xfId="0" applyNumberFormat="1" applyFont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1" fillId="24" borderId="11" xfId="0" applyNumberFormat="1" applyFont="1" applyFill="1" applyBorder="1" applyAlignment="1">
      <alignment horizontal="center" vertical="center"/>
    </xf>
    <xf numFmtId="9" fontId="1" fillId="24" borderId="10" xfId="0" applyNumberFormat="1" applyFont="1" applyFill="1" applyBorder="1" applyAlignment="1">
      <alignment horizontal="center" vertical="center"/>
    </xf>
    <xf numFmtId="9" fontId="35" fillId="24" borderId="10" xfId="0" applyNumberFormat="1" applyFont="1" applyFill="1" applyBorder="1" applyAlignment="1">
      <alignment horizontal="center" vertical="center"/>
    </xf>
    <xf numFmtId="191" fontId="0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6" fillId="0" borderId="11" xfId="0" applyFont="1" applyFill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/>
    </xf>
    <xf numFmtId="184" fontId="2" fillId="0" borderId="10" xfId="0" applyNumberFormat="1" applyFont="1" applyBorder="1" applyAlignment="1">
      <alignment vertical="center"/>
    </xf>
    <xf numFmtId="184" fontId="30" fillId="0" borderId="10" xfId="0" applyNumberFormat="1" applyFont="1" applyBorder="1" applyAlignment="1">
      <alignment vertical="center"/>
    </xf>
    <xf numFmtId="185" fontId="31" fillId="0" borderId="10" xfId="0" applyNumberFormat="1" applyFont="1" applyFill="1" applyBorder="1" applyAlignment="1">
      <alignment horizontal="center" vertical="center"/>
    </xf>
    <xf numFmtId="0" fontId="36" fillId="0" borderId="10" xfId="40" applyFont="1" applyFill="1" applyBorder="1" applyAlignment="1">
      <alignment horizontal="center" vertical="center" wrapText="1"/>
      <protection/>
    </xf>
    <xf numFmtId="185" fontId="31" fillId="0" borderId="10" xfId="40" applyNumberFormat="1" applyFont="1" applyFill="1" applyBorder="1" applyAlignment="1">
      <alignment horizontal="center" vertical="center"/>
      <protection/>
    </xf>
    <xf numFmtId="0" fontId="37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2" fillId="0" borderId="14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40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36" fillId="0" borderId="10" xfId="40" applyNumberFormat="1" applyFont="1" applyBorder="1" applyAlignment="1">
      <alignment horizontal="center" vertical="center"/>
      <protection/>
    </xf>
    <xf numFmtId="0" fontId="36" fillId="24" borderId="10" xfId="40" applyNumberFormat="1" applyFont="1" applyFill="1" applyBorder="1" applyAlignment="1">
      <alignment horizontal="center" vertical="center"/>
      <protection/>
    </xf>
    <xf numFmtId="0" fontId="5" fillId="0" borderId="10" xfId="40" applyNumberFormat="1" applyFont="1" applyBorder="1" applyAlignment="1">
      <alignment horizontal="center" vertical="center"/>
      <protection/>
    </xf>
    <xf numFmtId="0" fontId="38" fillId="0" borderId="10" xfId="40" applyNumberFormat="1" applyFont="1" applyBorder="1" applyAlignment="1">
      <alignment horizontal="center" vertical="center"/>
      <protection/>
    </xf>
    <xf numFmtId="0" fontId="36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hidden="1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6" xfId="0" applyFont="1" applyFill="1" applyBorder="1" applyAlignment="1" applyProtection="1">
      <alignment horizontal="center" vertical="center" wrapText="1"/>
      <protection hidden="1"/>
    </xf>
    <xf numFmtId="0" fontId="37" fillId="0" borderId="16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184" fontId="2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5" fontId="1" fillId="24" borderId="10" xfId="0" applyNumberFormat="1" applyFont="1" applyFill="1" applyBorder="1" applyAlignment="1">
      <alignment vertical="center"/>
    </xf>
    <xf numFmtId="9" fontId="1" fillId="24" borderId="14" xfId="0" applyNumberFormat="1" applyFont="1" applyFill="1" applyBorder="1" applyAlignment="1">
      <alignment horizontal="center" vertical="center"/>
    </xf>
    <xf numFmtId="9" fontId="31" fillId="24" borderId="14" xfId="0" applyNumberFormat="1" applyFont="1" applyFill="1" applyBorder="1" applyAlignment="1">
      <alignment horizontal="center" vertical="center"/>
    </xf>
    <xf numFmtId="9" fontId="1" fillId="24" borderId="0" xfId="0" applyNumberFormat="1" applyFont="1" applyFill="1" applyBorder="1" applyAlignment="1">
      <alignment horizontal="center" vertical="center"/>
    </xf>
    <xf numFmtId="9" fontId="31" fillId="24" borderId="0" xfId="0" applyNumberFormat="1" applyFont="1" applyFill="1" applyBorder="1" applyAlignment="1">
      <alignment horizontal="center" vertical="center"/>
    </xf>
    <xf numFmtId="9" fontId="35" fillId="24" borderId="0" xfId="0" applyNumberFormat="1" applyFont="1" applyFill="1" applyBorder="1" applyAlignment="1">
      <alignment horizontal="center" vertical="center"/>
    </xf>
    <xf numFmtId="9" fontId="30" fillId="24" borderId="10" xfId="0" applyNumberFormat="1" applyFont="1" applyFill="1" applyBorder="1" applyAlignment="1">
      <alignment horizontal="center" vertical="center"/>
    </xf>
    <xf numFmtId="184" fontId="1" fillId="24" borderId="18" xfId="0" applyNumberFormat="1" applyFont="1" applyFill="1" applyBorder="1" applyAlignment="1">
      <alignment horizontal="center" vertical="center"/>
    </xf>
    <xf numFmtId="185" fontId="30" fillId="24" borderId="18" xfId="0" applyNumberFormat="1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40" fillId="24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/>
    </xf>
    <xf numFmtId="0" fontId="41" fillId="24" borderId="10" xfId="0" applyNumberFormat="1" applyFont="1" applyFill="1" applyBorder="1" applyAlignment="1">
      <alignment horizontal="center" vertical="center"/>
    </xf>
    <xf numFmtId="184" fontId="30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18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91" fontId="5" fillId="0" borderId="17" xfId="0" applyNumberFormat="1" applyFont="1" applyBorder="1" applyAlignment="1">
      <alignment horizontal="center" vertical="center" wrapText="1"/>
    </xf>
    <xf numFmtId="191" fontId="5" fillId="0" borderId="11" xfId="0" applyNumberFormat="1" applyFont="1" applyBorder="1" applyAlignment="1">
      <alignment horizontal="center" vertical="center" wrapText="1"/>
    </xf>
    <xf numFmtId="186" fontId="5" fillId="0" borderId="17" xfId="0" applyNumberFormat="1" applyFont="1" applyBorder="1" applyAlignment="1">
      <alignment horizontal="center" vertical="center" wrapText="1"/>
    </xf>
    <xf numFmtId="186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86" fontId="5" fillId="0" borderId="13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left" vertical="center"/>
    </xf>
    <xf numFmtId="191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9525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28575</xdr:rowOff>
    </xdr:from>
    <xdr:to>
      <xdr:col>30</xdr:col>
      <xdr:colOff>0</xdr:colOff>
      <xdr:row>6</xdr:row>
      <xdr:rowOff>0</xdr:rowOff>
    </xdr:to>
    <xdr:sp>
      <xdr:nvSpPr>
        <xdr:cNvPr id="2" name="Line 21"/>
        <xdr:cNvSpPr>
          <a:spLocks/>
        </xdr:cNvSpPr>
      </xdr:nvSpPr>
      <xdr:spPr>
        <a:xfrm>
          <a:off x="17430750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19050</xdr:colOff>
      <xdr:row>2</xdr:row>
      <xdr:rowOff>28575</xdr:rowOff>
    </xdr:from>
    <xdr:to>
      <xdr:col>19</xdr:col>
      <xdr:colOff>0</xdr:colOff>
      <xdr:row>6</xdr:row>
      <xdr:rowOff>0</xdr:rowOff>
    </xdr:to>
    <xdr:sp>
      <xdr:nvSpPr>
        <xdr:cNvPr id="3" name="Line 21"/>
        <xdr:cNvSpPr>
          <a:spLocks/>
        </xdr:cNvSpPr>
      </xdr:nvSpPr>
      <xdr:spPr>
        <a:xfrm>
          <a:off x="9858375" y="504825"/>
          <a:ext cx="9144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34</xdr:col>
      <xdr:colOff>19050</xdr:colOff>
      <xdr:row>2</xdr:row>
      <xdr:rowOff>28575</xdr:rowOff>
    </xdr:from>
    <xdr:to>
      <xdr:col>35</xdr:col>
      <xdr:colOff>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19773900" y="504825"/>
          <a:ext cx="762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7429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0</xdr:rowOff>
    </xdr:to>
    <xdr:sp>
      <xdr:nvSpPr>
        <xdr:cNvPr id="2" name="Line 7"/>
        <xdr:cNvSpPr>
          <a:spLocks/>
        </xdr:cNvSpPr>
      </xdr:nvSpPr>
      <xdr:spPr>
        <a:xfrm>
          <a:off x="2428875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28575</xdr:rowOff>
    </xdr:from>
    <xdr:to>
      <xdr:col>22</xdr:col>
      <xdr:colOff>0</xdr:colOff>
      <xdr:row>6</xdr:row>
      <xdr:rowOff>0</xdr:rowOff>
    </xdr:to>
    <xdr:sp>
      <xdr:nvSpPr>
        <xdr:cNvPr id="3" name="Line 21"/>
        <xdr:cNvSpPr>
          <a:spLocks/>
        </xdr:cNvSpPr>
      </xdr:nvSpPr>
      <xdr:spPr>
        <a:xfrm>
          <a:off x="12211050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16011525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28575</xdr:rowOff>
    </xdr:from>
    <xdr:to>
      <xdr:col>18</xdr:col>
      <xdr:colOff>0</xdr:colOff>
      <xdr:row>6</xdr:row>
      <xdr:rowOff>0</xdr:rowOff>
    </xdr:to>
    <xdr:sp>
      <xdr:nvSpPr>
        <xdr:cNvPr id="5" name="Line 21"/>
        <xdr:cNvSpPr>
          <a:spLocks/>
        </xdr:cNvSpPr>
      </xdr:nvSpPr>
      <xdr:spPr>
        <a:xfrm>
          <a:off x="9096375" y="504825"/>
          <a:ext cx="7334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19050</xdr:colOff>
      <xdr:row>2</xdr:row>
      <xdr:rowOff>28575</xdr:rowOff>
    </xdr:from>
    <xdr:to>
      <xdr:col>34</xdr:col>
      <xdr:colOff>0</xdr:colOff>
      <xdr:row>6</xdr:row>
      <xdr:rowOff>0</xdr:rowOff>
    </xdr:to>
    <xdr:sp>
      <xdr:nvSpPr>
        <xdr:cNvPr id="6" name="Line 21"/>
        <xdr:cNvSpPr>
          <a:spLocks/>
        </xdr:cNvSpPr>
      </xdr:nvSpPr>
      <xdr:spPr>
        <a:xfrm>
          <a:off x="18240375" y="504825"/>
          <a:ext cx="762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7429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0</xdr:rowOff>
    </xdr:to>
    <xdr:sp>
      <xdr:nvSpPr>
        <xdr:cNvPr id="2" name="Line 7"/>
        <xdr:cNvSpPr>
          <a:spLocks/>
        </xdr:cNvSpPr>
      </xdr:nvSpPr>
      <xdr:spPr>
        <a:xfrm>
          <a:off x="2428875" y="50482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28575</xdr:rowOff>
    </xdr:from>
    <xdr:to>
      <xdr:col>22</xdr:col>
      <xdr:colOff>0</xdr:colOff>
      <xdr:row>6</xdr:row>
      <xdr:rowOff>0</xdr:rowOff>
    </xdr:to>
    <xdr:sp>
      <xdr:nvSpPr>
        <xdr:cNvPr id="3" name="Line 21"/>
        <xdr:cNvSpPr>
          <a:spLocks/>
        </xdr:cNvSpPr>
      </xdr:nvSpPr>
      <xdr:spPr>
        <a:xfrm>
          <a:off x="12258675" y="50482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16059150" y="50482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28575</xdr:rowOff>
    </xdr:from>
    <xdr:to>
      <xdr:col>38</xdr:col>
      <xdr:colOff>0</xdr:colOff>
      <xdr:row>6</xdr:row>
      <xdr:rowOff>0</xdr:rowOff>
    </xdr:to>
    <xdr:sp>
      <xdr:nvSpPr>
        <xdr:cNvPr id="5" name="Line 21"/>
        <xdr:cNvSpPr>
          <a:spLocks/>
        </xdr:cNvSpPr>
      </xdr:nvSpPr>
      <xdr:spPr>
        <a:xfrm>
          <a:off x="21755100" y="50482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28575</xdr:rowOff>
    </xdr:from>
    <xdr:to>
      <xdr:col>18</xdr:col>
      <xdr:colOff>0</xdr:colOff>
      <xdr:row>6</xdr:row>
      <xdr:rowOff>0</xdr:rowOff>
    </xdr:to>
    <xdr:sp>
      <xdr:nvSpPr>
        <xdr:cNvPr id="6" name="Line 21"/>
        <xdr:cNvSpPr>
          <a:spLocks/>
        </xdr:cNvSpPr>
      </xdr:nvSpPr>
      <xdr:spPr>
        <a:xfrm>
          <a:off x="9144000" y="504825"/>
          <a:ext cx="73342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19050</xdr:colOff>
      <xdr:row>2</xdr:row>
      <xdr:rowOff>28575</xdr:rowOff>
    </xdr:from>
    <xdr:to>
      <xdr:col>34</xdr:col>
      <xdr:colOff>0</xdr:colOff>
      <xdr:row>6</xdr:row>
      <xdr:rowOff>0</xdr:rowOff>
    </xdr:to>
    <xdr:sp>
      <xdr:nvSpPr>
        <xdr:cNvPr id="7" name="Line 21"/>
        <xdr:cNvSpPr>
          <a:spLocks/>
        </xdr:cNvSpPr>
      </xdr:nvSpPr>
      <xdr:spPr>
        <a:xfrm>
          <a:off x="18288000" y="504825"/>
          <a:ext cx="8001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7429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0</xdr:rowOff>
    </xdr:to>
    <xdr:sp>
      <xdr:nvSpPr>
        <xdr:cNvPr id="2" name="Line 7"/>
        <xdr:cNvSpPr>
          <a:spLocks/>
        </xdr:cNvSpPr>
      </xdr:nvSpPr>
      <xdr:spPr>
        <a:xfrm>
          <a:off x="2428875" y="5048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28575</xdr:rowOff>
    </xdr:from>
    <xdr:to>
      <xdr:col>22</xdr:col>
      <xdr:colOff>0</xdr:colOff>
      <xdr:row>6</xdr:row>
      <xdr:rowOff>0</xdr:rowOff>
    </xdr:to>
    <xdr:sp>
      <xdr:nvSpPr>
        <xdr:cNvPr id="3" name="Line 21"/>
        <xdr:cNvSpPr>
          <a:spLocks/>
        </xdr:cNvSpPr>
      </xdr:nvSpPr>
      <xdr:spPr>
        <a:xfrm>
          <a:off x="12306300" y="5048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16106775" y="5048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28575</xdr:rowOff>
    </xdr:from>
    <xdr:to>
      <xdr:col>38</xdr:col>
      <xdr:colOff>0</xdr:colOff>
      <xdr:row>6</xdr:row>
      <xdr:rowOff>0</xdr:rowOff>
    </xdr:to>
    <xdr:sp>
      <xdr:nvSpPr>
        <xdr:cNvPr id="5" name="Line 21"/>
        <xdr:cNvSpPr>
          <a:spLocks/>
        </xdr:cNvSpPr>
      </xdr:nvSpPr>
      <xdr:spPr>
        <a:xfrm>
          <a:off x="21221700" y="5048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28575</xdr:rowOff>
    </xdr:from>
    <xdr:to>
      <xdr:col>18</xdr:col>
      <xdr:colOff>0</xdr:colOff>
      <xdr:row>6</xdr:row>
      <xdr:rowOff>0</xdr:rowOff>
    </xdr:to>
    <xdr:sp>
      <xdr:nvSpPr>
        <xdr:cNvPr id="6" name="Line 21"/>
        <xdr:cNvSpPr>
          <a:spLocks/>
        </xdr:cNvSpPr>
      </xdr:nvSpPr>
      <xdr:spPr>
        <a:xfrm>
          <a:off x="9191625" y="504825"/>
          <a:ext cx="7334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19050</xdr:colOff>
      <xdr:row>2</xdr:row>
      <xdr:rowOff>28575</xdr:rowOff>
    </xdr:from>
    <xdr:to>
      <xdr:col>34</xdr:col>
      <xdr:colOff>0</xdr:colOff>
      <xdr:row>6</xdr:row>
      <xdr:rowOff>0</xdr:rowOff>
    </xdr:to>
    <xdr:sp>
      <xdr:nvSpPr>
        <xdr:cNvPr id="7" name="Line 21"/>
        <xdr:cNvSpPr>
          <a:spLocks/>
        </xdr:cNvSpPr>
      </xdr:nvSpPr>
      <xdr:spPr>
        <a:xfrm>
          <a:off x="18335625" y="504825"/>
          <a:ext cx="561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7429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0</xdr:rowOff>
    </xdr:to>
    <xdr:sp>
      <xdr:nvSpPr>
        <xdr:cNvPr id="2" name="Line 7"/>
        <xdr:cNvSpPr>
          <a:spLocks/>
        </xdr:cNvSpPr>
      </xdr:nvSpPr>
      <xdr:spPr>
        <a:xfrm>
          <a:off x="2428875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28575</xdr:rowOff>
    </xdr:from>
    <xdr:to>
      <xdr:col>22</xdr:col>
      <xdr:colOff>0</xdr:colOff>
      <xdr:row>6</xdr:row>
      <xdr:rowOff>0</xdr:rowOff>
    </xdr:to>
    <xdr:sp>
      <xdr:nvSpPr>
        <xdr:cNvPr id="3" name="Line 21"/>
        <xdr:cNvSpPr>
          <a:spLocks/>
        </xdr:cNvSpPr>
      </xdr:nvSpPr>
      <xdr:spPr>
        <a:xfrm>
          <a:off x="12496800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16297275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28575</xdr:rowOff>
    </xdr:from>
    <xdr:to>
      <xdr:col>38</xdr:col>
      <xdr:colOff>0</xdr:colOff>
      <xdr:row>6</xdr:row>
      <xdr:rowOff>0</xdr:rowOff>
    </xdr:to>
    <xdr:sp>
      <xdr:nvSpPr>
        <xdr:cNvPr id="5" name="Line 21"/>
        <xdr:cNvSpPr>
          <a:spLocks/>
        </xdr:cNvSpPr>
      </xdr:nvSpPr>
      <xdr:spPr>
        <a:xfrm>
          <a:off x="21831300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28575</xdr:rowOff>
    </xdr:from>
    <xdr:to>
      <xdr:col>18</xdr:col>
      <xdr:colOff>0</xdr:colOff>
      <xdr:row>6</xdr:row>
      <xdr:rowOff>0</xdr:rowOff>
    </xdr:to>
    <xdr:sp>
      <xdr:nvSpPr>
        <xdr:cNvPr id="6" name="Line 21"/>
        <xdr:cNvSpPr>
          <a:spLocks/>
        </xdr:cNvSpPr>
      </xdr:nvSpPr>
      <xdr:spPr>
        <a:xfrm>
          <a:off x="9382125" y="504825"/>
          <a:ext cx="7334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19050</xdr:colOff>
      <xdr:row>2</xdr:row>
      <xdr:rowOff>28575</xdr:rowOff>
    </xdr:from>
    <xdr:to>
      <xdr:col>34</xdr:col>
      <xdr:colOff>0</xdr:colOff>
      <xdr:row>6</xdr:row>
      <xdr:rowOff>0</xdr:rowOff>
    </xdr:to>
    <xdr:sp>
      <xdr:nvSpPr>
        <xdr:cNvPr id="7" name="Line 21"/>
        <xdr:cNvSpPr>
          <a:spLocks/>
        </xdr:cNvSpPr>
      </xdr:nvSpPr>
      <xdr:spPr>
        <a:xfrm>
          <a:off x="18526125" y="504825"/>
          <a:ext cx="7905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504825"/>
          <a:ext cx="7429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0</xdr:rowOff>
    </xdr:to>
    <xdr:sp>
      <xdr:nvSpPr>
        <xdr:cNvPr id="9" name="Line 7"/>
        <xdr:cNvSpPr>
          <a:spLocks/>
        </xdr:cNvSpPr>
      </xdr:nvSpPr>
      <xdr:spPr>
        <a:xfrm>
          <a:off x="2428875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28575</xdr:rowOff>
    </xdr:from>
    <xdr:to>
      <xdr:col>22</xdr:col>
      <xdr:colOff>0</xdr:colOff>
      <xdr:row>6</xdr:row>
      <xdr:rowOff>0</xdr:rowOff>
    </xdr:to>
    <xdr:sp>
      <xdr:nvSpPr>
        <xdr:cNvPr id="10" name="Line 21"/>
        <xdr:cNvSpPr>
          <a:spLocks/>
        </xdr:cNvSpPr>
      </xdr:nvSpPr>
      <xdr:spPr>
        <a:xfrm>
          <a:off x="12496800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6</xdr:row>
      <xdr:rowOff>0</xdr:rowOff>
    </xdr:to>
    <xdr:sp>
      <xdr:nvSpPr>
        <xdr:cNvPr id="11" name="Line 21"/>
        <xdr:cNvSpPr>
          <a:spLocks/>
        </xdr:cNvSpPr>
      </xdr:nvSpPr>
      <xdr:spPr>
        <a:xfrm>
          <a:off x="16297275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28575</xdr:rowOff>
    </xdr:from>
    <xdr:to>
      <xdr:col>38</xdr:col>
      <xdr:colOff>0</xdr:colOff>
      <xdr:row>6</xdr:row>
      <xdr:rowOff>0</xdr:rowOff>
    </xdr:to>
    <xdr:sp>
      <xdr:nvSpPr>
        <xdr:cNvPr id="12" name="Line 21"/>
        <xdr:cNvSpPr>
          <a:spLocks/>
        </xdr:cNvSpPr>
      </xdr:nvSpPr>
      <xdr:spPr>
        <a:xfrm>
          <a:off x="21831300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28575</xdr:rowOff>
    </xdr:from>
    <xdr:to>
      <xdr:col>18</xdr:col>
      <xdr:colOff>0</xdr:colOff>
      <xdr:row>6</xdr:row>
      <xdr:rowOff>0</xdr:rowOff>
    </xdr:to>
    <xdr:sp>
      <xdr:nvSpPr>
        <xdr:cNvPr id="13" name="Line 21"/>
        <xdr:cNvSpPr>
          <a:spLocks/>
        </xdr:cNvSpPr>
      </xdr:nvSpPr>
      <xdr:spPr>
        <a:xfrm>
          <a:off x="9382125" y="504825"/>
          <a:ext cx="7334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19050</xdr:colOff>
      <xdr:row>2</xdr:row>
      <xdr:rowOff>28575</xdr:rowOff>
    </xdr:from>
    <xdr:to>
      <xdr:col>34</xdr:col>
      <xdr:colOff>0</xdr:colOff>
      <xdr:row>6</xdr:row>
      <xdr:rowOff>0</xdr:rowOff>
    </xdr:to>
    <xdr:sp>
      <xdr:nvSpPr>
        <xdr:cNvPr id="14" name="Line 21"/>
        <xdr:cNvSpPr>
          <a:spLocks/>
        </xdr:cNvSpPr>
      </xdr:nvSpPr>
      <xdr:spPr>
        <a:xfrm>
          <a:off x="18526125" y="504825"/>
          <a:ext cx="7905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0</xdr:rowOff>
    </xdr:to>
    <xdr:sp>
      <xdr:nvSpPr>
        <xdr:cNvPr id="1" name="Line 7"/>
        <xdr:cNvSpPr>
          <a:spLocks/>
        </xdr:cNvSpPr>
      </xdr:nvSpPr>
      <xdr:spPr>
        <a:xfrm>
          <a:off x="2428875" y="50482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6</xdr:row>
      <xdr:rowOff>0</xdr:rowOff>
    </xdr:to>
    <xdr:sp>
      <xdr:nvSpPr>
        <xdr:cNvPr id="2" name="Line 21"/>
        <xdr:cNvSpPr>
          <a:spLocks/>
        </xdr:cNvSpPr>
      </xdr:nvSpPr>
      <xdr:spPr>
        <a:xfrm>
          <a:off x="16297275" y="50482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28575</xdr:rowOff>
    </xdr:from>
    <xdr:to>
      <xdr:col>38</xdr:col>
      <xdr:colOff>0</xdr:colOff>
      <xdr:row>6</xdr:row>
      <xdr:rowOff>0</xdr:rowOff>
    </xdr:to>
    <xdr:sp>
      <xdr:nvSpPr>
        <xdr:cNvPr id="3" name="Line 21"/>
        <xdr:cNvSpPr>
          <a:spLocks/>
        </xdr:cNvSpPr>
      </xdr:nvSpPr>
      <xdr:spPr>
        <a:xfrm>
          <a:off x="21574125" y="50482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504825"/>
          <a:ext cx="7429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2428875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5</xdr:row>
      <xdr:rowOff>0</xdr:rowOff>
    </xdr:to>
    <xdr:sp>
      <xdr:nvSpPr>
        <xdr:cNvPr id="6" name="Line 21"/>
        <xdr:cNvSpPr>
          <a:spLocks/>
        </xdr:cNvSpPr>
      </xdr:nvSpPr>
      <xdr:spPr>
        <a:xfrm>
          <a:off x="16297275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28575</xdr:rowOff>
    </xdr:from>
    <xdr:to>
      <xdr:col>38</xdr:col>
      <xdr:colOff>0</xdr:colOff>
      <xdr:row>5</xdr:row>
      <xdr:rowOff>0</xdr:rowOff>
    </xdr:to>
    <xdr:sp>
      <xdr:nvSpPr>
        <xdr:cNvPr id="7" name="Line 21"/>
        <xdr:cNvSpPr>
          <a:spLocks/>
        </xdr:cNvSpPr>
      </xdr:nvSpPr>
      <xdr:spPr>
        <a:xfrm>
          <a:off x="21574125" y="5048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28575</xdr:rowOff>
    </xdr:from>
    <xdr:to>
      <xdr:col>18</xdr:col>
      <xdr:colOff>0</xdr:colOff>
      <xdr:row>5</xdr:row>
      <xdr:rowOff>0</xdr:rowOff>
    </xdr:to>
    <xdr:sp>
      <xdr:nvSpPr>
        <xdr:cNvPr id="8" name="Line 21"/>
        <xdr:cNvSpPr>
          <a:spLocks/>
        </xdr:cNvSpPr>
      </xdr:nvSpPr>
      <xdr:spPr>
        <a:xfrm>
          <a:off x="9382125" y="504825"/>
          <a:ext cx="7334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19050</xdr:colOff>
      <xdr:row>2</xdr:row>
      <xdr:rowOff>28575</xdr:rowOff>
    </xdr:from>
    <xdr:to>
      <xdr:col>34</xdr:col>
      <xdr:colOff>0</xdr:colOff>
      <xdr:row>5</xdr:row>
      <xdr:rowOff>0</xdr:rowOff>
    </xdr:to>
    <xdr:sp>
      <xdr:nvSpPr>
        <xdr:cNvPr id="9" name="Line 21"/>
        <xdr:cNvSpPr>
          <a:spLocks/>
        </xdr:cNvSpPr>
      </xdr:nvSpPr>
      <xdr:spPr>
        <a:xfrm>
          <a:off x="18526125" y="504825"/>
          <a:ext cx="7715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7429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0</xdr:rowOff>
    </xdr:to>
    <xdr:sp>
      <xdr:nvSpPr>
        <xdr:cNvPr id="2" name="Line 7"/>
        <xdr:cNvSpPr>
          <a:spLocks/>
        </xdr:cNvSpPr>
      </xdr:nvSpPr>
      <xdr:spPr>
        <a:xfrm>
          <a:off x="2428875" y="50482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28575</xdr:rowOff>
    </xdr:from>
    <xdr:to>
      <xdr:col>22</xdr:col>
      <xdr:colOff>0</xdr:colOff>
      <xdr:row>6</xdr:row>
      <xdr:rowOff>0</xdr:rowOff>
    </xdr:to>
    <xdr:sp>
      <xdr:nvSpPr>
        <xdr:cNvPr id="3" name="Line 21"/>
        <xdr:cNvSpPr>
          <a:spLocks/>
        </xdr:cNvSpPr>
      </xdr:nvSpPr>
      <xdr:spPr>
        <a:xfrm>
          <a:off x="12496800" y="50482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16297275" y="50482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28575</xdr:rowOff>
    </xdr:from>
    <xdr:to>
      <xdr:col>18</xdr:col>
      <xdr:colOff>0</xdr:colOff>
      <xdr:row>6</xdr:row>
      <xdr:rowOff>0</xdr:rowOff>
    </xdr:to>
    <xdr:sp>
      <xdr:nvSpPr>
        <xdr:cNvPr id="5" name="Line 21"/>
        <xdr:cNvSpPr>
          <a:spLocks/>
        </xdr:cNvSpPr>
      </xdr:nvSpPr>
      <xdr:spPr>
        <a:xfrm>
          <a:off x="9382125" y="504825"/>
          <a:ext cx="7334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19050</xdr:colOff>
      <xdr:row>2</xdr:row>
      <xdr:rowOff>28575</xdr:rowOff>
    </xdr:from>
    <xdr:to>
      <xdr:col>34</xdr:col>
      <xdr:colOff>0</xdr:colOff>
      <xdr:row>6</xdr:row>
      <xdr:rowOff>0</xdr:rowOff>
    </xdr:to>
    <xdr:sp>
      <xdr:nvSpPr>
        <xdr:cNvPr id="6" name="Line 21"/>
        <xdr:cNvSpPr>
          <a:spLocks/>
        </xdr:cNvSpPr>
      </xdr:nvSpPr>
      <xdr:spPr>
        <a:xfrm>
          <a:off x="18526125" y="504825"/>
          <a:ext cx="9239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504825"/>
          <a:ext cx="7429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0</xdr:rowOff>
    </xdr:to>
    <xdr:sp>
      <xdr:nvSpPr>
        <xdr:cNvPr id="8" name="Line 7"/>
        <xdr:cNvSpPr>
          <a:spLocks/>
        </xdr:cNvSpPr>
      </xdr:nvSpPr>
      <xdr:spPr>
        <a:xfrm>
          <a:off x="2428875" y="50482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28575</xdr:rowOff>
    </xdr:from>
    <xdr:to>
      <xdr:col>22</xdr:col>
      <xdr:colOff>0</xdr:colOff>
      <xdr:row>6</xdr:row>
      <xdr:rowOff>0</xdr:rowOff>
    </xdr:to>
    <xdr:sp>
      <xdr:nvSpPr>
        <xdr:cNvPr id="9" name="Line 21"/>
        <xdr:cNvSpPr>
          <a:spLocks/>
        </xdr:cNvSpPr>
      </xdr:nvSpPr>
      <xdr:spPr>
        <a:xfrm>
          <a:off x="12496800" y="50482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6</xdr:row>
      <xdr:rowOff>0</xdr:rowOff>
    </xdr:to>
    <xdr:sp>
      <xdr:nvSpPr>
        <xdr:cNvPr id="10" name="Line 21"/>
        <xdr:cNvSpPr>
          <a:spLocks/>
        </xdr:cNvSpPr>
      </xdr:nvSpPr>
      <xdr:spPr>
        <a:xfrm>
          <a:off x="16297275" y="50482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28575</xdr:rowOff>
    </xdr:from>
    <xdr:to>
      <xdr:col>18</xdr:col>
      <xdr:colOff>0</xdr:colOff>
      <xdr:row>6</xdr:row>
      <xdr:rowOff>0</xdr:rowOff>
    </xdr:to>
    <xdr:sp>
      <xdr:nvSpPr>
        <xdr:cNvPr id="11" name="Line 21"/>
        <xdr:cNvSpPr>
          <a:spLocks/>
        </xdr:cNvSpPr>
      </xdr:nvSpPr>
      <xdr:spPr>
        <a:xfrm>
          <a:off x="9382125" y="504825"/>
          <a:ext cx="7334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19050</xdr:colOff>
      <xdr:row>2</xdr:row>
      <xdr:rowOff>28575</xdr:rowOff>
    </xdr:from>
    <xdr:to>
      <xdr:col>34</xdr:col>
      <xdr:colOff>0</xdr:colOff>
      <xdr:row>6</xdr:row>
      <xdr:rowOff>0</xdr:rowOff>
    </xdr:to>
    <xdr:sp>
      <xdr:nvSpPr>
        <xdr:cNvPr id="12" name="Line 21"/>
        <xdr:cNvSpPr>
          <a:spLocks/>
        </xdr:cNvSpPr>
      </xdr:nvSpPr>
      <xdr:spPr>
        <a:xfrm>
          <a:off x="18526125" y="504825"/>
          <a:ext cx="9239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47675"/>
          <a:ext cx="7429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0</xdr:rowOff>
    </xdr:to>
    <xdr:sp>
      <xdr:nvSpPr>
        <xdr:cNvPr id="2" name="Line 7"/>
        <xdr:cNvSpPr>
          <a:spLocks/>
        </xdr:cNvSpPr>
      </xdr:nvSpPr>
      <xdr:spPr>
        <a:xfrm>
          <a:off x="2428875" y="4476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28575</xdr:rowOff>
    </xdr:from>
    <xdr:to>
      <xdr:col>22</xdr:col>
      <xdr:colOff>0</xdr:colOff>
      <xdr:row>6</xdr:row>
      <xdr:rowOff>0</xdr:rowOff>
    </xdr:to>
    <xdr:sp>
      <xdr:nvSpPr>
        <xdr:cNvPr id="3" name="Line 21"/>
        <xdr:cNvSpPr>
          <a:spLocks/>
        </xdr:cNvSpPr>
      </xdr:nvSpPr>
      <xdr:spPr>
        <a:xfrm>
          <a:off x="12258675" y="4476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16059150" y="4476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28575</xdr:rowOff>
    </xdr:from>
    <xdr:to>
      <xdr:col>18</xdr:col>
      <xdr:colOff>0</xdr:colOff>
      <xdr:row>6</xdr:row>
      <xdr:rowOff>0</xdr:rowOff>
    </xdr:to>
    <xdr:sp>
      <xdr:nvSpPr>
        <xdr:cNvPr id="5" name="Line 21"/>
        <xdr:cNvSpPr>
          <a:spLocks/>
        </xdr:cNvSpPr>
      </xdr:nvSpPr>
      <xdr:spPr>
        <a:xfrm>
          <a:off x="9144000" y="447675"/>
          <a:ext cx="7334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19050</xdr:colOff>
      <xdr:row>2</xdr:row>
      <xdr:rowOff>28575</xdr:rowOff>
    </xdr:from>
    <xdr:to>
      <xdr:col>34</xdr:col>
      <xdr:colOff>0</xdr:colOff>
      <xdr:row>6</xdr:row>
      <xdr:rowOff>0</xdr:rowOff>
    </xdr:to>
    <xdr:sp>
      <xdr:nvSpPr>
        <xdr:cNvPr id="6" name="Line 21"/>
        <xdr:cNvSpPr>
          <a:spLocks/>
        </xdr:cNvSpPr>
      </xdr:nvSpPr>
      <xdr:spPr>
        <a:xfrm>
          <a:off x="18288000" y="447675"/>
          <a:ext cx="7524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7429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0</xdr:rowOff>
    </xdr:to>
    <xdr:sp>
      <xdr:nvSpPr>
        <xdr:cNvPr id="2" name="Line 7"/>
        <xdr:cNvSpPr>
          <a:spLocks/>
        </xdr:cNvSpPr>
      </xdr:nvSpPr>
      <xdr:spPr>
        <a:xfrm>
          <a:off x="2428875" y="5048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28575</xdr:rowOff>
    </xdr:from>
    <xdr:to>
      <xdr:col>22</xdr:col>
      <xdr:colOff>0</xdr:colOff>
      <xdr:row>6</xdr:row>
      <xdr:rowOff>0</xdr:rowOff>
    </xdr:to>
    <xdr:sp>
      <xdr:nvSpPr>
        <xdr:cNvPr id="3" name="Line 21"/>
        <xdr:cNvSpPr>
          <a:spLocks/>
        </xdr:cNvSpPr>
      </xdr:nvSpPr>
      <xdr:spPr>
        <a:xfrm>
          <a:off x="12163425" y="5048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15963900" y="5048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28575</xdr:rowOff>
    </xdr:from>
    <xdr:to>
      <xdr:col>18</xdr:col>
      <xdr:colOff>0</xdr:colOff>
      <xdr:row>6</xdr:row>
      <xdr:rowOff>0</xdr:rowOff>
    </xdr:to>
    <xdr:sp>
      <xdr:nvSpPr>
        <xdr:cNvPr id="5" name="Line 21"/>
        <xdr:cNvSpPr>
          <a:spLocks/>
        </xdr:cNvSpPr>
      </xdr:nvSpPr>
      <xdr:spPr>
        <a:xfrm>
          <a:off x="9048750" y="504825"/>
          <a:ext cx="7334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19050</xdr:colOff>
      <xdr:row>2</xdr:row>
      <xdr:rowOff>28575</xdr:rowOff>
    </xdr:from>
    <xdr:to>
      <xdr:col>34</xdr:col>
      <xdr:colOff>0</xdr:colOff>
      <xdr:row>6</xdr:row>
      <xdr:rowOff>0</xdr:rowOff>
    </xdr:to>
    <xdr:sp>
      <xdr:nvSpPr>
        <xdr:cNvPr id="6" name="Line 21"/>
        <xdr:cNvSpPr>
          <a:spLocks/>
        </xdr:cNvSpPr>
      </xdr:nvSpPr>
      <xdr:spPr>
        <a:xfrm>
          <a:off x="18192750" y="504825"/>
          <a:ext cx="7429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7429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0</xdr:rowOff>
    </xdr:to>
    <xdr:sp>
      <xdr:nvSpPr>
        <xdr:cNvPr id="2" name="Line 7"/>
        <xdr:cNvSpPr>
          <a:spLocks/>
        </xdr:cNvSpPr>
      </xdr:nvSpPr>
      <xdr:spPr>
        <a:xfrm>
          <a:off x="2428875" y="5048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28575</xdr:rowOff>
    </xdr:from>
    <xdr:to>
      <xdr:col>22</xdr:col>
      <xdr:colOff>0</xdr:colOff>
      <xdr:row>6</xdr:row>
      <xdr:rowOff>0</xdr:rowOff>
    </xdr:to>
    <xdr:sp>
      <xdr:nvSpPr>
        <xdr:cNvPr id="3" name="Line 21"/>
        <xdr:cNvSpPr>
          <a:spLocks/>
        </xdr:cNvSpPr>
      </xdr:nvSpPr>
      <xdr:spPr>
        <a:xfrm>
          <a:off x="12353925" y="5048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16154400" y="5048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28575</xdr:rowOff>
    </xdr:from>
    <xdr:to>
      <xdr:col>18</xdr:col>
      <xdr:colOff>0</xdr:colOff>
      <xdr:row>6</xdr:row>
      <xdr:rowOff>0</xdr:rowOff>
    </xdr:to>
    <xdr:sp>
      <xdr:nvSpPr>
        <xdr:cNvPr id="5" name="Line 21"/>
        <xdr:cNvSpPr>
          <a:spLocks/>
        </xdr:cNvSpPr>
      </xdr:nvSpPr>
      <xdr:spPr>
        <a:xfrm>
          <a:off x="9239250" y="504825"/>
          <a:ext cx="7334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19050</xdr:colOff>
      <xdr:row>2</xdr:row>
      <xdr:rowOff>28575</xdr:rowOff>
    </xdr:from>
    <xdr:to>
      <xdr:col>34</xdr:col>
      <xdr:colOff>0</xdr:colOff>
      <xdr:row>6</xdr:row>
      <xdr:rowOff>0</xdr:rowOff>
    </xdr:to>
    <xdr:sp>
      <xdr:nvSpPr>
        <xdr:cNvPr id="6" name="Line 21"/>
        <xdr:cNvSpPr>
          <a:spLocks/>
        </xdr:cNvSpPr>
      </xdr:nvSpPr>
      <xdr:spPr>
        <a:xfrm>
          <a:off x="18383250" y="504825"/>
          <a:ext cx="7620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74" t="s">
        <v>347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W22"/>
  <sheetViews>
    <sheetView workbookViewId="0" topLeftCell="AB1">
      <selection activeCell="AR7" sqref="AR7"/>
    </sheetView>
  </sheetViews>
  <sheetFormatPr defaultColWidth="9.00390625" defaultRowHeight="14.25"/>
  <cols>
    <col min="1" max="1" width="10.00390625" style="63" customWidth="1"/>
    <col min="2" max="2" width="7.875" style="1" customWidth="1"/>
    <col min="3" max="4" width="7.00390625" style="3" customWidth="1"/>
    <col min="5" max="9" width="6.375" style="3" customWidth="1"/>
    <col min="10" max="12" width="7.00390625" style="3" customWidth="1"/>
    <col min="13" max="14" width="7.25390625" style="1" customWidth="1"/>
    <col min="15" max="15" width="7.25390625" style="6" customWidth="1"/>
    <col min="16" max="17" width="7.25390625" style="7" customWidth="1"/>
    <col min="18" max="18" width="9.875" style="7" customWidth="1"/>
    <col min="19" max="19" width="7.125" style="4" customWidth="1"/>
    <col min="20" max="20" width="9.625" style="4" customWidth="1"/>
    <col min="21" max="21" width="7.25390625" style="4" customWidth="1"/>
    <col min="22" max="22" width="7.25390625" style="7" customWidth="1"/>
    <col min="23" max="23" width="7.625" style="29" customWidth="1"/>
    <col min="24" max="25" width="7.625" style="4" customWidth="1"/>
    <col min="26" max="26" width="6.75390625" style="2" customWidth="1"/>
    <col min="27" max="28" width="6.75390625" style="4" customWidth="1"/>
    <col min="29" max="29" width="6.75390625" style="8" customWidth="1"/>
    <col min="30" max="30" width="7.25390625" style="30" customWidth="1"/>
    <col min="31" max="32" width="7.25390625" style="8" customWidth="1"/>
    <col min="33" max="33" width="7.25390625" style="4" customWidth="1"/>
    <col min="34" max="34" width="10.25390625" style="4" customWidth="1"/>
    <col min="35" max="35" width="7.50390625" style="30" customWidth="1"/>
    <col min="36" max="36" width="7.50390625" style="4" customWidth="1"/>
    <col min="37" max="37" width="7.50390625" style="8" customWidth="1"/>
    <col min="38" max="38" width="8.375" style="8" customWidth="1"/>
    <col min="39" max="49" width="7.25390625" style="3" customWidth="1"/>
    <col min="50" max="16384" width="9.00390625" style="3" customWidth="1"/>
  </cols>
  <sheetData>
    <row r="1" spans="1:49" s="28" customFormat="1" ht="22.5" customHeight="1">
      <c r="A1" s="136" t="s">
        <v>335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 t="s">
        <v>340</v>
      </c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 t="s">
        <v>340</v>
      </c>
      <c r="AI1" s="136"/>
      <c r="AJ1" s="136"/>
      <c r="AK1" s="136"/>
      <c r="AL1" s="136"/>
      <c r="AM1" s="136"/>
      <c r="AN1" s="136"/>
      <c r="AO1" s="136"/>
      <c r="AP1" s="136"/>
      <c r="AQ1" s="136"/>
      <c r="AR1" s="27"/>
      <c r="AS1" s="27"/>
      <c r="AT1" s="27"/>
      <c r="AU1" s="27"/>
      <c r="AV1" s="27"/>
      <c r="AW1" s="27"/>
    </row>
    <row r="2" spans="1:38" s="4" customFormat="1" ht="15" customHeight="1">
      <c r="A2" s="31" t="s">
        <v>190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51"/>
      <c r="N2" s="51"/>
      <c r="O2" s="51"/>
      <c r="P2" s="51"/>
      <c r="Q2" s="5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9"/>
      <c r="AD2" s="137"/>
      <c r="AE2" s="137"/>
      <c r="AF2" s="137"/>
      <c r="AG2" s="138"/>
      <c r="AH2" s="138"/>
      <c r="AI2" s="137"/>
      <c r="AJ2" s="9"/>
      <c r="AK2" s="10"/>
      <c r="AL2" s="10"/>
    </row>
    <row r="3" spans="1:49" s="11" customFormat="1" ht="17.25" customHeight="1">
      <c r="A3" s="159" t="s">
        <v>191</v>
      </c>
      <c r="B3" s="139" t="s">
        <v>192</v>
      </c>
      <c r="C3" s="123" t="s">
        <v>193</v>
      </c>
      <c r="D3" s="123"/>
      <c r="E3" s="122" t="s">
        <v>194</v>
      </c>
      <c r="F3" s="123"/>
      <c r="G3" s="123"/>
      <c r="H3" s="123"/>
      <c r="I3" s="123"/>
      <c r="J3" s="128"/>
      <c r="K3" s="123" t="s">
        <v>31</v>
      </c>
      <c r="L3" s="123"/>
      <c r="M3" s="122" t="s">
        <v>195</v>
      </c>
      <c r="N3" s="123"/>
      <c r="O3" s="123"/>
      <c r="P3" s="123"/>
      <c r="Q3" s="128"/>
      <c r="R3" s="157" t="s">
        <v>191</v>
      </c>
      <c r="S3" s="122" t="s">
        <v>196</v>
      </c>
      <c r="T3" s="123"/>
      <c r="U3" s="123"/>
      <c r="V3" s="123"/>
      <c r="W3" s="122" t="s">
        <v>197</v>
      </c>
      <c r="X3" s="123"/>
      <c r="Y3" s="123"/>
      <c r="Z3" s="122" t="s">
        <v>198</v>
      </c>
      <c r="AA3" s="123"/>
      <c r="AB3" s="123"/>
      <c r="AC3" s="123"/>
      <c r="AD3" s="122" t="s">
        <v>199</v>
      </c>
      <c r="AE3" s="123"/>
      <c r="AF3" s="123"/>
      <c r="AG3" s="128"/>
      <c r="AH3" s="157" t="s">
        <v>191</v>
      </c>
      <c r="AI3" s="119" t="s">
        <v>200</v>
      </c>
      <c r="AJ3" s="120"/>
      <c r="AK3" s="120"/>
      <c r="AL3" s="121"/>
      <c r="AM3" s="123" t="s">
        <v>336</v>
      </c>
      <c r="AN3" s="123"/>
      <c r="AO3" s="123"/>
      <c r="AP3" s="123"/>
      <c r="AQ3" s="123"/>
      <c r="AR3" s="123"/>
      <c r="AS3" s="123"/>
      <c r="AT3" s="123"/>
      <c r="AU3" s="128"/>
      <c r="AV3" s="151" t="s">
        <v>338</v>
      </c>
      <c r="AW3" s="153" t="s">
        <v>48</v>
      </c>
    </row>
    <row r="4" spans="1:49" s="5" customFormat="1" ht="12" customHeight="1">
      <c r="A4" s="160"/>
      <c r="B4" s="140"/>
      <c r="C4" s="125"/>
      <c r="D4" s="125"/>
      <c r="E4" s="124"/>
      <c r="F4" s="125"/>
      <c r="G4" s="125"/>
      <c r="H4" s="125"/>
      <c r="I4" s="125"/>
      <c r="J4" s="129"/>
      <c r="K4" s="125"/>
      <c r="L4" s="125"/>
      <c r="M4" s="124"/>
      <c r="N4" s="125"/>
      <c r="O4" s="125"/>
      <c r="P4" s="125"/>
      <c r="Q4" s="129"/>
      <c r="R4" s="158"/>
      <c r="S4" s="124"/>
      <c r="T4" s="125"/>
      <c r="U4" s="125"/>
      <c r="V4" s="125"/>
      <c r="W4" s="124"/>
      <c r="X4" s="125"/>
      <c r="Y4" s="125"/>
      <c r="Z4" s="124"/>
      <c r="AA4" s="125"/>
      <c r="AB4" s="125"/>
      <c r="AC4" s="125"/>
      <c r="AD4" s="124"/>
      <c r="AE4" s="125"/>
      <c r="AF4" s="125"/>
      <c r="AG4" s="129"/>
      <c r="AH4" s="158"/>
      <c r="AI4" s="141"/>
      <c r="AJ4" s="142"/>
      <c r="AK4" s="142"/>
      <c r="AL4" s="143"/>
      <c r="AM4" s="125"/>
      <c r="AN4" s="125"/>
      <c r="AO4" s="125"/>
      <c r="AP4" s="125"/>
      <c r="AQ4" s="125"/>
      <c r="AR4" s="125"/>
      <c r="AS4" s="125"/>
      <c r="AT4" s="125"/>
      <c r="AU4" s="129"/>
      <c r="AV4" s="152"/>
      <c r="AW4" s="154"/>
    </row>
    <row r="5" spans="1:49" s="5" customFormat="1" ht="26.25" customHeight="1">
      <c r="A5" s="52"/>
      <c r="B5" s="140"/>
      <c r="C5" s="132" t="s">
        <v>201</v>
      </c>
      <c r="D5" s="126" t="s">
        <v>202</v>
      </c>
      <c r="E5" s="144" t="s">
        <v>203</v>
      </c>
      <c r="F5" s="126" t="s">
        <v>204</v>
      </c>
      <c r="G5" s="144" t="s">
        <v>342</v>
      </c>
      <c r="H5" s="126" t="s">
        <v>205</v>
      </c>
      <c r="I5" s="126" t="s">
        <v>206</v>
      </c>
      <c r="J5" s="126" t="s">
        <v>207</v>
      </c>
      <c r="K5" s="126" t="s">
        <v>208</v>
      </c>
      <c r="L5" s="132" t="s">
        <v>209</v>
      </c>
      <c r="M5" s="149" t="s">
        <v>210</v>
      </c>
      <c r="N5" s="149" t="s">
        <v>211</v>
      </c>
      <c r="O5" s="149" t="s">
        <v>40</v>
      </c>
      <c r="P5" s="149" t="s">
        <v>41</v>
      </c>
      <c r="Q5" s="149" t="s">
        <v>42</v>
      </c>
      <c r="R5" s="52"/>
      <c r="S5" s="144" t="s">
        <v>8</v>
      </c>
      <c r="T5" s="144" t="s">
        <v>9</v>
      </c>
      <c r="U5" s="144" t="s">
        <v>10</v>
      </c>
      <c r="V5" s="145" t="s">
        <v>27</v>
      </c>
      <c r="W5" s="126" t="s">
        <v>212</v>
      </c>
      <c r="X5" s="126" t="s">
        <v>213</v>
      </c>
      <c r="Y5" s="126" t="s">
        <v>214</v>
      </c>
      <c r="Z5" s="126" t="s">
        <v>215</v>
      </c>
      <c r="AA5" s="149" t="s">
        <v>216</v>
      </c>
      <c r="AB5" s="149" t="s">
        <v>217</v>
      </c>
      <c r="AC5" s="147" t="s">
        <v>218</v>
      </c>
      <c r="AD5" s="149" t="s">
        <v>219</v>
      </c>
      <c r="AE5" s="149" t="s">
        <v>216</v>
      </c>
      <c r="AF5" s="149" t="s">
        <v>220</v>
      </c>
      <c r="AG5" s="156" t="s">
        <v>221</v>
      </c>
      <c r="AH5" s="52"/>
      <c r="AI5" s="149" t="s">
        <v>222</v>
      </c>
      <c r="AJ5" s="149" t="s">
        <v>223</v>
      </c>
      <c r="AK5" s="126" t="s">
        <v>224</v>
      </c>
      <c r="AL5" s="126" t="s">
        <v>225</v>
      </c>
      <c r="AM5" s="144" t="s">
        <v>18</v>
      </c>
      <c r="AN5" s="144" t="s">
        <v>19</v>
      </c>
      <c r="AO5" s="144" t="s">
        <v>20</v>
      </c>
      <c r="AP5" s="126" t="s">
        <v>329</v>
      </c>
      <c r="AQ5" s="126" t="s">
        <v>330</v>
      </c>
      <c r="AR5" s="126" t="s">
        <v>331</v>
      </c>
      <c r="AS5" s="126" t="s">
        <v>332</v>
      </c>
      <c r="AT5" s="126" t="s">
        <v>333</v>
      </c>
      <c r="AU5" s="126" t="s">
        <v>334</v>
      </c>
      <c r="AV5" s="144" t="s">
        <v>21</v>
      </c>
      <c r="AW5" s="154"/>
    </row>
    <row r="6" spans="1:49" s="5" customFormat="1" ht="54" customHeight="1">
      <c r="A6" s="53" t="s">
        <v>81</v>
      </c>
      <c r="B6" s="118"/>
      <c r="C6" s="133"/>
      <c r="D6" s="127"/>
      <c r="E6" s="144"/>
      <c r="F6" s="127"/>
      <c r="G6" s="144"/>
      <c r="H6" s="127"/>
      <c r="I6" s="127"/>
      <c r="J6" s="127"/>
      <c r="K6" s="127"/>
      <c r="L6" s="133"/>
      <c r="M6" s="127"/>
      <c r="N6" s="127"/>
      <c r="O6" s="127"/>
      <c r="P6" s="127"/>
      <c r="Q6" s="127"/>
      <c r="R6" s="54" t="s">
        <v>81</v>
      </c>
      <c r="S6" s="144"/>
      <c r="T6" s="144"/>
      <c r="U6" s="144"/>
      <c r="V6" s="146"/>
      <c r="W6" s="127"/>
      <c r="X6" s="127"/>
      <c r="Y6" s="127"/>
      <c r="Z6" s="127"/>
      <c r="AA6" s="127"/>
      <c r="AB6" s="127"/>
      <c r="AC6" s="148"/>
      <c r="AD6" s="127"/>
      <c r="AE6" s="127"/>
      <c r="AF6" s="127"/>
      <c r="AG6" s="148"/>
      <c r="AH6" s="54" t="s">
        <v>81</v>
      </c>
      <c r="AI6" s="127"/>
      <c r="AJ6" s="127"/>
      <c r="AK6" s="127"/>
      <c r="AL6" s="127"/>
      <c r="AM6" s="144"/>
      <c r="AN6" s="144"/>
      <c r="AO6" s="144"/>
      <c r="AP6" s="127"/>
      <c r="AQ6" s="127"/>
      <c r="AR6" s="127"/>
      <c r="AS6" s="127"/>
      <c r="AT6" s="127"/>
      <c r="AU6" s="127"/>
      <c r="AV6" s="144"/>
      <c r="AW6" s="155"/>
    </row>
    <row r="7" spans="1:49" s="17" customFormat="1" ht="27" customHeight="1">
      <c r="A7" s="53" t="s">
        <v>226</v>
      </c>
      <c r="B7" s="101">
        <v>39197</v>
      </c>
      <c r="C7" s="12">
        <f>B7*0.75</f>
        <v>29397.75</v>
      </c>
      <c r="D7" s="12">
        <f>B7*0.75</f>
        <v>29397.75</v>
      </c>
      <c r="E7" s="13">
        <v>12</v>
      </c>
      <c r="F7" s="13">
        <v>6</v>
      </c>
      <c r="G7" s="13">
        <v>6</v>
      </c>
      <c r="H7" s="13">
        <v>9</v>
      </c>
      <c r="I7" s="13">
        <v>12</v>
      </c>
      <c r="J7" s="14">
        <v>0.8</v>
      </c>
      <c r="K7" s="14">
        <v>0.95</v>
      </c>
      <c r="L7" s="14">
        <v>0.9</v>
      </c>
      <c r="M7" s="57">
        <f>B7*0.0252</f>
        <v>987.7644</v>
      </c>
      <c r="N7" s="114">
        <f>B7*0.0045</f>
        <v>176.38649999999998</v>
      </c>
      <c r="O7" s="15">
        <f>N7*0.9</f>
        <v>158.74785</v>
      </c>
      <c r="P7" s="15">
        <f>M7*0.9</f>
        <v>888.98796</v>
      </c>
      <c r="Q7" s="15">
        <f>M7*0.85</f>
        <v>839.59974</v>
      </c>
      <c r="R7" s="53" t="s">
        <v>226</v>
      </c>
      <c r="S7" s="15">
        <f>N7*0.95</f>
        <v>167.56717499999996</v>
      </c>
      <c r="T7" s="15">
        <f>N7*0.9</f>
        <v>158.74785</v>
      </c>
      <c r="U7" s="15">
        <f>N7*0.95</f>
        <v>167.56717499999996</v>
      </c>
      <c r="V7" s="15">
        <f>N7*0.85</f>
        <v>149.92852499999998</v>
      </c>
      <c r="W7" s="19">
        <f aca="true" t="shared" si="0" ref="W7:W16">B7*0.0882</f>
        <v>3457.1754</v>
      </c>
      <c r="X7" s="15">
        <f>W7*0.7</f>
        <v>2420.02278</v>
      </c>
      <c r="Y7" s="15">
        <f>W7*0.7</f>
        <v>2420.02278</v>
      </c>
      <c r="Z7" s="19">
        <f aca="true" t="shared" si="1" ref="Z7:Z16">B7*0.52*0.188</f>
        <v>3831.8987200000006</v>
      </c>
      <c r="AA7" s="15">
        <f>Z7*0.3</f>
        <v>1149.5696160000002</v>
      </c>
      <c r="AB7" s="15">
        <f>AA7*0.35</f>
        <v>402.34936560000006</v>
      </c>
      <c r="AC7" s="12">
        <f>AA7*0.3</f>
        <v>344.87088480000006</v>
      </c>
      <c r="AD7" s="117">
        <f aca="true" t="shared" si="2" ref="AD7:AD16">B7*0.52*0.097</f>
        <v>1977.0966800000003</v>
      </c>
      <c r="AE7" s="15">
        <f>AD7*0.25</f>
        <v>494.2741700000001</v>
      </c>
      <c r="AF7" s="15">
        <f>AE7*0.3</f>
        <v>148.28225100000003</v>
      </c>
      <c r="AG7" s="15">
        <f>AE7*0.2</f>
        <v>98.85483400000003</v>
      </c>
      <c r="AH7" s="53" t="s">
        <v>226</v>
      </c>
      <c r="AI7" s="19">
        <f aca="true" t="shared" si="3" ref="AI7:AI16">B7*8/1000</f>
        <v>313.576</v>
      </c>
      <c r="AJ7" s="15">
        <f>AI7*0.2</f>
        <v>62.71520000000001</v>
      </c>
      <c r="AK7" s="15">
        <f>AI7*0.2</f>
        <v>62.71520000000001</v>
      </c>
      <c r="AL7" s="15">
        <f>AK7*0.6</f>
        <v>37.62912000000001</v>
      </c>
      <c r="AM7" s="16">
        <v>1</v>
      </c>
      <c r="AN7" s="16">
        <v>0.95</v>
      </c>
      <c r="AO7" s="16">
        <v>1</v>
      </c>
      <c r="AP7" s="16">
        <v>1</v>
      </c>
      <c r="AQ7" s="16">
        <v>0.95</v>
      </c>
      <c r="AR7" s="16">
        <v>1</v>
      </c>
      <c r="AS7" s="16">
        <v>0.8</v>
      </c>
      <c r="AT7" s="16">
        <v>0.85</v>
      </c>
      <c r="AU7" s="16">
        <v>0.85</v>
      </c>
      <c r="AV7" s="16">
        <v>0.95</v>
      </c>
      <c r="AW7" s="16">
        <v>0.8</v>
      </c>
    </row>
    <row r="8" spans="1:49" s="17" customFormat="1" ht="27" customHeight="1">
      <c r="A8" s="53" t="s">
        <v>227</v>
      </c>
      <c r="B8" s="101">
        <v>9112</v>
      </c>
      <c r="C8" s="12">
        <f aca="true" t="shared" si="4" ref="C8:C18">B8*0.75</f>
        <v>6834</v>
      </c>
      <c r="D8" s="12">
        <f aca="true" t="shared" si="5" ref="D8:D18">B8*0.75</f>
        <v>6834</v>
      </c>
      <c r="E8" s="13">
        <v>12</v>
      </c>
      <c r="F8" s="13">
        <v>6</v>
      </c>
      <c r="G8" s="13">
        <v>6</v>
      </c>
      <c r="H8" s="13">
        <v>9</v>
      </c>
      <c r="I8" s="13">
        <v>12</v>
      </c>
      <c r="J8" s="14">
        <v>0.8</v>
      </c>
      <c r="K8" s="14">
        <v>0.95</v>
      </c>
      <c r="L8" s="14">
        <v>0.9</v>
      </c>
      <c r="M8" s="57">
        <f aca="true" t="shared" si="6" ref="M8:M18">B8*0.0252</f>
        <v>229.6224</v>
      </c>
      <c r="N8" s="114">
        <f aca="true" t="shared" si="7" ref="N8:N18">B8*0.0045</f>
        <v>41.004</v>
      </c>
      <c r="O8" s="15">
        <f aca="true" t="shared" si="8" ref="O8:O18">N8*0.9</f>
        <v>36.9036</v>
      </c>
      <c r="P8" s="15">
        <f aca="true" t="shared" si="9" ref="P8:P18">M8*0.9</f>
        <v>206.66016</v>
      </c>
      <c r="Q8" s="15">
        <f aca="true" t="shared" si="10" ref="Q8:Q18">M8*0.85</f>
        <v>195.17904</v>
      </c>
      <c r="R8" s="53" t="s">
        <v>227</v>
      </c>
      <c r="S8" s="15">
        <f aca="true" t="shared" si="11" ref="S8:S18">N8*0.95</f>
        <v>38.953799999999994</v>
      </c>
      <c r="T8" s="15">
        <f aca="true" t="shared" si="12" ref="T8:T18">N8*0.9</f>
        <v>36.9036</v>
      </c>
      <c r="U8" s="15">
        <f aca="true" t="shared" si="13" ref="U8:U18">N8*0.95</f>
        <v>38.953799999999994</v>
      </c>
      <c r="V8" s="15">
        <f aca="true" t="shared" si="14" ref="V8:V18">N8*0.85</f>
        <v>34.8534</v>
      </c>
      <c r="W8" s="19">
        <f t="shared" si="0"/>
        <v>803.6784</v>
      </c>
      <c r="X8" s="15">
        <f aca="true" t="shared" si="15" ref="X8:X18">W8*0.7</f>
        <v>562.57488</v>
      </c>
      <c r="Y8" s="15">
        <f aca="true" t="shared" si="16" ref="Y8:Y18">W8*0.7</f>
        <v>562.57488</v>
      </c>
      <c r="Z8" s="19">
        <f t="shared" si="1"/>
        <v>890.7891199999999</v>
      </c>
      <c r="AA8" s="15">
        <f aca="true" t="shared" si="17" ref="AA8:AA18">Z8*0.3</f>
        <v>267.23673599999995</v>
      </c>
      <c r="AB8" s="15">
        <f aca="true" t="shared" si="18" ref="AB8:AB18">AA8*0.35</f>
        <v>93.53285759999997</v>
      </c>
      <c r="AC8" s="12">
        <f aca="true" t="shared" si="19" ref="AC8:AC18">AA8*0.3</f>
        <v>80.17102079999998</v>
      </c>
      <c r="AD8" s="117">
        <f t="shared" si="2"/>
        <v>459.60928</v>
      </c>
      <c r="AE8" s="15">
        <f aca="true" t="shared" si="20" ref="AE8:AE18">AD8*0.25</f>
        <v>114.90232</v>
      </c>
      <c r="AF8" s="15">
        <f aca="true" t="shared" si="21" ref="AF8:AF18">AE8*0.3</f>
        <v>34.470696</v>
      </c>
      <c r="AG8" s="15">
        <f aca="true" t="shared" si="22" ref="AG8:AG18">AE8*0.2</f>
        <v>22.980464</v>
      </c>
      <c r="AH8" s="53" t="s">
        <v>227</v>
      </c>
      <c r="AI8" s="19">
        <f t="shared" si="3"/>
        <v>72.896</v>
      </c>
      <c r="AJ8" s="15">
        <f aca="true" t="shared" si="23" ref="AJ8:AJ18">AI8*0.2</f>
        <v>14.5792</v>
      </c>
      <c r="AK8" s="15">
        <f aca="true" t="shared" si="24" ref="AK8:AK18">AI8*0.2</f>
        <v>14.5792</v>
      </c>
      <c r="AL8" s="15">
        <f aca="true" t="shared" si="25" ref="AL8:AL18">AK8*0.6</f>
        <v>8.74752</v>
      </c>
      <c r="AM8" s="49">
        <v>1</v>
      </c>
      <c r="AN8" s="16">
        <v>0.95</v>
      </c>
      <c r="AO8" s="49">
        <v>1</v>
      </c>
      <c r="AP8" s="16">
        <v>1</v>
      </c>
      <c r="AQ8" s="16">
        <v>0.95</v>
      </c>
      <c r="AR8" s="16">
        <v>1</v>
      </c>
      <c r="AS8" s="16">
        <v>0.8</v>
      </c>
      <c r="AT8" s="16">
        <v>0.85</v>
      </c>
      <c r="AU8" s="16">
        <v>0.85</v>
      </c>
      <c r="AV8" s="49">
        <v>0.95</v>
      </c>
      <c r="AW8" s="49">
        <v>0.8</v>
      </c>
    </row>
    <row r="9" spans="1:49" s="17" customFormat="1" ht="27" customHeight="1">
      <c r="A9" s="68" t="s">
        <v>228</v>
      </c>
      <c r="B9" s="102">
        <v>8313</v>
      </c>
      <c r="C9" s="12">
        <f t="shared" si="4"/>
        <v>6234.75</v>
      </c>
      <c r="D9" s="12">
        <f t="shared" si="5"/>
        <v>6234.75</v>
      </c>
      <c r="E9" s="13">
        <v>12</v>
      </c>
      <c r="F9" s="13">
        <v>6</v>
      </c>
      <c r="G9" s="13">
        <v>6</v>
      </c>
      <c r="H9" s="13">
        <v>9</v>
      </c>
      <c r="I9" s="13">
        <v>12</v>
      </c>
      <c r="J9" s="14">
        <v>0.8</v>
      </c>
      <c r="K9" s="14">
        <v>0.95</v>
      </c>
      <c r="L9" s="14">
        <v>0.9</v>
      </c>
      <c r="M9" s="57">
        <f t="shared" si="6"/>
        <v>209.48760000000001</v>
      </c>
      <c r="N9" s="114">
        <f t="shared" si="7"/>
        <v>37.4085</v>
      </c>
      <c r="O9" s="15">
        <f t="shared" si="8"/>
        <v>33.667649999999995</v>
      </c>
      <c r="P9" s="15">
        <f t="shared" si="9"/>
        <v>188.53884000000002</v>
      </c>
      <c r="Q9" s="15">
        <f t="shared" si="10"/>
        <v>178.06446</v>
      </c>
      <c r="R9" s="68" t="s">
        <v>228</v>
      </c>
      <c r="S9" s="15">
        <f t="shared" si="11"/>
        <v>35.53807499999999</v>
      </c>
      <c r="T9" s="15">
        <f t="shared" si="12"/>
        <v>33.667649999999995</v>
      </c>
      <c r="U9" s="15">
        <f t="shared" si="13"/>
        <v>35.53807499999999</v>
      </c>
      <c r="V9" s="15">
        <f t="shared" si="14"/>
        <v>31.797224999999997</v>
      </c>
      <c r="W9" s="19">
        <f>B9*0.0882</f>
        <v>733.2066</v>
      </c>
      <c r="X9" s="15">
        <f t="shared" si="15"/>
        <v>513.2446199999999</v>
      </c>
      <c r="Y9" s="15">
        <f t="shared" si="16"/>
        <v>513.2446199999999</v>
      </c>
      <c r="Z9" s="19">
        <f>B9*0.52*0.188</f>
        <v>812.67888</v>
      </c>
      <c r="AA9" s="15">
        <f t="shared" si="17"/>
        <v>243.803664</v>
      </c>
      <c r="AB9" s="15">
        <f t="shared" si="18"/>
        <v>85.33128239999999</v>
      </c>
      <c r="AC9" s="12">
        <f t="shared" si="19"/>
        <v>73.1410992</v>
      </c>
      <c r="AD9" s="117">
        <f>B9*0.52*0.097</f>
        <v>419.30772</v>
      </c>
      <c r="AE9" s="15">
        <f t="shared" si="20"/>
        <v>104.82693</v>
      </c>
      <c r="AF9" s="15">
        <f t="shared" si="21"/>
        <v>31.448079</v>
      </c>
      <c r="AG9" s="15">
        <f t="shared" si="22"/>
        <v>20.965386000000002</v>
      </c>
      <c r="AH9" s="68" t="s">
        <v>228</v>
      </c>
      <c r="AI9" s="19">
        <f>B9*8/1000</f>
        <v>66.504</v>
      </c>
      <c r="AJ9" s="15">
        <f t="shared" si="23"/>
        <v>13.300800000000002</v>
      </c>
      <c r="AK9" s="15">
        <f t="shared" si="24"/>
        <v>13.300800000000002</v>
      </c>
      <c r="AL9" s="15">
        <f t="shared" si="25"/>
        <v>7.980480000000001</v>
      </c>
      <c r="AM9" s="49">
        <v>1</v>
      </c>
      <c r="AN9" s="16">
        <v>0.95</v>
      </c>
      <c r="AO9" s="49">
        <v>1</v>
      </c>
      <c r="AP9" s="16">
        <v>1</v>
      </c>
      <c r="AQ9" s="16">
        <v>0.95</v>
      </c>
      <c r="AR9" s="16">
        <v>1</v>
      </c>
      <c r="AS9" s="16">
        <v>0.8</v>
      </c>
      <c r="AT9" s="16">
        <v>0.85</v>
      </c>
      <c r="AU9" s="16">
        <v>0.85</v>
      </c>
      <c r="AV9" s="49">
        <v>0.95</v>
      </c>
      <c r="AW9" s="49">
        <v>0.8</v>
      </c>
    </row>
    <row r="10" spans="1:49" s="17" customFormat="1" ht="27" customHeight="1">
      <c r="A10" s="68" t="s">
        <v>229</v>
      </c>
      <c r="B10" s="102">
        <v>3017</v>
      </c>
      <c r="C10" s="12">
        <f t="shared" si="4"/>
        <v>2262.75</v>
      </c>
      <c r="D10" s="12">
        <f t="shared" si="5"/>
        <v>2262.75</v>
      </c>
      <c r="E10" s="13">
        <v>12</v>
      </c>
      <c r="F10" s="13">
        <v>6</v>
      </c>
      <c r="G10" s="13">
        <v>6</v>
      </c>
      <c r="H10" s="13">
        <v>9</v>
      </c>
      <c r="I10" s="13">
        <v>12</v>
      </c>
      <c r="J10" s="14">
        <v>0.8</v>
      </c>
      <c r="K10" s="14">
        <v>0.95</v>
      </c>
      <c r="L10" s="14">
        <v>0.9</v>
      </c>
      <c r="M10" s="57">
        <f t="shared" si="6"/>
        <v>76.0284</v>
      </c>
      <c r="N10" s="114">
        <f t="shared" si="7"/>
        <v>13.5765</v>
      </c>
      <c r="O10" s="15">
        <f t="shared" si="8"/>
        <v>12.21885</v>
      </c>
      <c r="P10" s="15">
        <f t="shared" si="9"/>
        <v>68.42556</v>
      </c>
      <c r="Q10" s="15">
        <f t="shared" si="10"/>
        <v>64.62414</v>
      </c>
      <c r="R10" s="68" t="s">
        <v>229</v>
      </c>
      <c r="S10" s="15">
        <f t="shared" si="11"/>
        <v>12.897675</v>
      </c>
      <c r="T10" s="15">
        <f t="shared" si="12"/>
        <v>12.21885</v>
      </c>
      <c r="U10" s="15">
        <f t="shared" si="13"/>
        <v>12.897675</v>
      </c>
      <c r="V10" s="15">
        <f t="shared" si="14"/>
        <v>11.540025</v>
      </c>
      <c r="W10" s="19">
        <f t="shared" si="0"/>
        <v>266.0994</v>
      </c>
      <c r="X10" s="15">
        <f t="shared" si="15"/>
        <v>186.26958</v>
      </c>
      <c r="Y10" s="15">
        <f t="shared" si="16"/>
        <v>186.26958</v>
      </c>
      <c r="Z10" s="19">
        <f t="shared" si="1"/>
        <v>294.94192000000004</v>
      </c>
      <c r="AA10" s="15">
        <f t="shared" si="17"/>
        <v>88.48257600000001</v>
      </c>
      <c r="AB10" s="15">
        <f t="shared" si="18"/>
        <v>30.968901600000002</v>
      </c>
      <c r="AC10" s="12">
        <f t="shared" si="19"/>
        <v>26.5447728</v>
      </c>
      <c r="AD10" s="117">
        <f t="shared" si="2"/>
        <v>152.17748000000003</v>
      </c>
      <c r="AE10" s="15">
        <f t="shared" si="20"/>
        <v>38.04437000000001</v>
      </c>
      <c r="AF10" s="15">
        <f t="shared" si="21"/>
        <v>11.413311000000002</v>
      </c>
      <c r="AG10" s="15">
        <f t="shared" si="22"/>
        <v>7.608874000000002</v>
      </c>
      <c r="AH10" s="68" t="s">
        <v>229</v>
      </c>
      <c r="AI10" s="19">
        <f t="shared" si="3"/>
        <v>24.136</v>
      </c>
      <c r="AJ10" s="15">
        <f t="shared" si="23"/>
        <v>4.8272</v>
      </c>
      <c r="AK10" s="15">
        <f t="shared" si="24"/>
        <v>4.8272</v>
      </c>
      <c r="AL10" s="15">
        <f t="shared" si="25"/>
        <v>2.8963200000000002</v>
      </c>
      <c r="AM10" s="49">
        <v>1</v>
      </c>
      <c r="AN10" s="16">
        <v>0.95</v>
      </c>
      <c r="AO10" s="49">
        <v>1</v>
      </c>
      <c r="AP10" s="16">
        <v>1</v>
      </c>
      <c r="AQ10" s="16">
        <v>0.95</v>
      </c>
      <c r="AR10" s="16">
        <v>1</v>
      </c>
      <c r="AS10" s="16">
        <v>0.8</v>
      </c>
      <c r="AT10" s="16">
        <v>0.85</v>
      </c>
      <c r="AU10" s="16">
        <v>0.85</v>
      </c>
      <c r="AV10" s="49">
        <v>0.95</v>
      </c>
      <c r="AW10" s="49">
        <v>0.8</v>
      </c>
    </row>
    <row r="11" spans="1:49" s="17" customFormat="1" ht="27" customHeight="1">
      <c r="A11" s="68" t="s">
        <v>230</v>
      </c>
      <c r="B11" s="102">
        <v>9870</v>
      </c>
      <c r="C11" s="12">
        <f t="shared" si="4"/>
        <v>7402.5</v>
      </c>
      <c r="D11" s="12">
        <f t="shared" si="5"/>
        <v>7402.5</v>
      </c>
      <c r="E11" s="13">
        <v>12</v>
      </c>
      <c r="F11" s="13">
        <v>6</v>
      </c>
      <c r="G11" s="13">
        <v>6</v>
      </c>
      <c r="H11" s="13">
        <v>9</v>
      </c>
      <c r="I11" s="13">
        <v>12</v>
      </c>
      <c r="J11" s="14">
        <v>0.8</v>
      </c>
      <c r="K11" s="14">
        <v>0.95</v>
      </c>
      <c r="L11" s="14">
        <v>0.9</v>
      </c>
      <c r="M11" s="57">
        <f t="shared" si="6"/>
        <v>248.724</v>
      </c>
      <c r="N11" s="114">
        <f t="shared" si="7"/>
        <v>44.415</v>
      </c>
      <c r="O11" s="15">
        <f t="shared" si="8"/>
        <v>39.9735</v>
      </c>
      <c r="P11" s="15">
        <f t="shared" si="9"/>
        <v>223.8516</v>
      </c>
      <c r="Q11" s="15">
        <f t="shared" si="10"/>
        <v>211.41539999999998</v>
      </c>
      <c r="R11" s="68" t="s">
        <v>230</v>
      </c>
      <c r="S11" s="15">
        <f t="shared" si="11"/>
        <v>42.19425</v>
      </c>
      <c r="T11" s="15">
        <f t="shared" si="12"/>
        <v>39.9735</v>
      </c>
      <c r="U11" s="15">
        <f t="shared" si="13"/>
        <v>42.19425</v>
      </c>
      <c r="V11" s="15">
        <f t="shared" si="14"/>
        <v>37.75275</v>
      </c>
      <c r="W11" s="19">
        <f t="shared" si="0"/>
        <v>870.534</v>
      </c>
      <c r="X11" s="15">
        <f t="shared" si="15"/>
        <v>609.3738</v>
      </c>
      <c r="Y11" s="15">
        <f t="shared" si="16"/>
        <v>609.3738</v>
      </c>
      <c r="Z11" s="19">
        <f t="shared" si="1"/>
        <v>964.8912000000001</v>
      </c>
      <c r="AA11" s="15">
        <f t="shared" si="17"/>
        <v>289.46736000000004</v>
      </c>
      <c r="AB11" s="15">
        <f t="shared" si="18"/>
        <v>101.31357600000001</v>
      </c>
      <c r="AC11" s="12">
        <f t="shared" si="19"/>
        <v>86.840208</v>
      </c>
      <c r="AD11" s="117">
        <f t="shared" si="2"/>
        <v>497.84280000000007</v>
      </c>
      <c r="AE11" s="15">
        <f t="shared" si="20"/>
        <v>124.46070000000002</v>
      </c>
      <c r="AF11" s="15">
        <f t="shared" si="21"/>
        <v>37.338210000000004</v>
      </c>
      <c r="AG11" s="15">
        <f t="shared" si="22"/>
        <v>24.892140000000005</v>
      </c>
      <c r="AH11" s="68" t="s">
        <v>230</v>
      </c>
      <c r="AI11" s="19">
        <f t="shared" si="3"/>
        <v>78.96</v>
      </c>
      <c r="AJ11" s="15">
        <f t="shared" si="23"/>
        <v>15.792</v>
      </c>
      <c r="AK11" s="15">
        <f t="shared" si="24"/>
        <v>15.792</v>
      </c>
      <c r="AL11" s="15">
        <f t="shared" si="25"/>
        <v>9.4752</v>
      </c>
      <c r="AM11" s="49">
        <v>1</v>
      </c>
      <c r="AN11" s="16">
        <v>0.95</v>
      </c>
      <c r="AO11" s="49">
        <v>1</v>
      </c>
      <c r="AP11" s="16">
        <v>1</v>
      </c>
      <c r="AQ11" s="16">
        <v>0.95</v>
      </c>
      <c r="AR11" s="16">
        <v>1</v>
      </c>
      <c r="AS11" s="16">
        <v>0.8</v>
      </c>
      <c r="AT11" s="16">
        <v>0.85</v>
      </c>
      <c r="AU11" s="16">
        <v>0.85</v>
      </c>
      <c r="AV11" s="49">
        <v>0.95</v>
      </c>
      <c r="AW11" s="49">
        <v>0.8</v>
      </c>
    </row>
    <row r="12" spans="1:49" s="17" customFormat="1" ht="27" customHeight="1">
      <c r="A12" s="68" t="s">
        <v>231</v>
      </c>
      <c r="B12" s="102">
        <v>8270</v>
      </c>
      <c r="C12" s="12">
        <f t="shared" si="4"/>
        <v>6202.5</v>
      </c>
      <c r="D12" s="12">
        <f t="shared" si="5"/>
        <v>6202.5</v>
      </c>
      <c r="E12" s="13">
        <v>12</v>
      </c>
      <c r="F12" s="13">
        <v>6</v>
      </c>
      <c r="G12" s="13">
        <v>6</v>
      </c>
      <c r="H12" s="13">
        <v>9</v>
      </c>
      <c r="I12" s="13">
        <v>12</v>
      </c>
      <c r="J12" s="14">
        <v>0.8</v>
      </c>
      <c r="K12" s="14">
        <v>0.95</v>
      </c>
      <c r="L12" s="14">
        <v>0.9</v>
      </c>
      <c r="M12" s="57">
        <f t="shared" si="6"/>
        <v>208.404</v>
      </c>
      <c r="N12" s="114">
        <f t="shared" si="7"/>
        <v>37.214999999999996</v>
      </c>
      <c r="O12" s="15">
        <f t="shared" si="8"/>
        <v>33.4935</v>
      </c>
      <c r="P12" s="15">
        <f t="shared" si="9"/>
        <v>187.5636</v>
      </c>
      <c r="Q12" s="15">
        <f t="shared" si="10"/>
        <v>177.14339999999999</v>
      </c>
      <c r="R12" s="68" t="s">
        <v>231</v>
      </c>
      <c r="S12" s="15">
        <f t="shared" si="11"/>
        <v>35.35424999999999</v>
      </c>
      <c r="T12" s="15">
        <f t="shared" si="12"/>
        <v>33.4935</v>
      </c>
      <c r="U12" s="15">
        <f t="shared" si="13"/>
        <v>35.35424999999999</v>
      </c>
      <c r="V12" s="15">
        <f t="shared" si="14"/>
        <v>31.632749999999994</v>
      </c>
      <c r="W12" s="19">
        <f t="shared" si="0"/>
        <v>729.414</v>
      </c>
      <c r="X12" s="15">
        <f t="shared" si="15"/>
        <v>510.58979999999997</v>
      </c>
      <c r="Y12" s="15">
        <f t="shared" si="16"/>
        <v>510.58979999999997</v>
      </c>
      <c r="Z12" s="19">
        <f t="shared" si="1"/>
        <v>808.4752000000001</v>
      </c>
      <c r="AA12" s="15">
        <f t="shared" si="17"/>
        <v>242.54256</v>
      </c>
      <c r="AB12" s="15">
        <f t="shared" si="18"/>
        <v>84.889896</v>
      </c>
      <c r="AC12" s="12">
        <f t="shared" si="19"/>
        <v>72.762768</v>
      </c>
      <c r="AD12" s="117">
        <f t="shared" si="2"/>
        <v>417.13880000000006</v>
      </c>
      <c r="AE12" s="15">
        <f t="shared" si="20"/>
        <v>104.28470000000002</v>
      </c>
      <c r="AF12" s="15">
        <f t="shared" si="21"/>
        <v>31.285410000000002</v>
      </c>
      <c r="AG12" s="15">
        <f t="shared" si="22"/>
        <v>20.856940000000005</v>
      </c>
      <c r="AH12" s="68" t="s">
        <v>231</v>
      </c>
      <c r="AI12" s="19">
        <f t="shared" si="3"/>
        <v>66.16</v>
      </c>
      <c r="AJ12" s="15">
        <f t="shared" si="23"/>
        <v>13.232</v>
      </c>
      <c r="AK12" s="15">
        <f t="shared" si="24"/>
        <v>13.232</v>
      </c>
      <c r="AL12" s="15">
        <f t="shared" si="25"/>
        <v>7.9392</v>
      </c>
      <c r="AM12" s="49">
        <v>1</v>
      </c>
      <c r="AN12" s="16">
        <v>0.95</v>
      </c>
      <c r="AO12" s="49">
        <v>1</v>
      </c>
      <c r="AP12" s="16">
        <v>1</v>
      </c>
      <c r="AQ12" s="16">
        <v>0.95</v>
      </c>
      <c r="AR12" s="16">
        <v>1</v>
      </c>
      <c r="AS12" s="16">
        <v>0.8</v>
      </c>
      <c r="AT12" s="16">
        <v>0.85</v>
      </c>
      <c r="AU12" s="16">
        <v>0.85</v>
      </c>
      <c r="AV12" s="49">
        <v>0.95</v>
      </c>
      <c r="AW12" s="49">
        <v>0.8</v>
      </c>
    </row>
    <row r="13" spans="1:49" s="17" customFormat="1" ht="27" customHeight="1">
      <c r="A13" s="68" t="s">
        <v>232</v>
      </c>
      <c r="B13" s="102">
        <v>6350</v>
      </c>
      <c r="C13" s="12">
        <f t="shared" si="4"/>
        <v>4762.5</v>
      </c>
      <c r="D13" s="12">
        <f t="shared" si="5"/>
        <v>4762.5</v>
      </c>
      <c r="E13" s="13">
        <v>12</v>
      </c>
      <c r="F13" s="13">
        <v>6</v>
      </c>
      <c r="G13" s="13">
        <v>6</v>
      </c>
      <c r="H13" s="13">
        <v>9</v>
      </c>
      <c r="I13" s="13">
        <v>12</v>
      </c>
      <c r="J13" s="14">
        <v>0.8</v>
      </c>
      <c r="K13" s="14">
        <v>0.95</v>
      </c>
      <c r="L13" s="14">
        <v>0.9</v>
      </c>
      <c r="M13" s="57">
        <f t="shared" si="6"/>
        <v>160.02</v>
      </c>
      <c r="N13" s="114">
        <f t="shared" si="7"/>
        <v>28.575</v>
      </c>
      <c r="O13" s="15">
        <f t="shared" si="8"/>
        <v>25.7175</v>
      </c>
      <c r="P13" s="15">
        <f t="shared" si="9"/>
        <v>144.018</v>
      </c>
      <c r="Q13" s="15">
        <f t="shared" si="10"/>
        <v>136.017</v>
      </c>
      <c r="R13" s="68" t="s">
        <v>232</v>
      </c>
      <c r="S13" s="15">
        <f t="shared" si="11"/>
        <v>27.14625</v>
      </c>
      <c r="T13" s="15">
        <f t="shared" si="12"/>
        <v>25.7175</v>
      </c>
      <c r="U13" s="15">
        <f t="shared" si="13"/>
        <v>27.14625</v>
      </c>
      <c r="V13" s="15">
        <f t="shared" si="14"/>
        <v>24.28875</v>
      </c>
      <c r="W13" s="19">
        <f t="shared" si="0"/>
        <v>560.07</v>
      </c>
      <c r="X13" s="15">
        <f t="shared" si="15"/>
        <v>392.04900000000004</v>
      </c>
      <c r="Y13" s="15">
        <f t="shared" si="16"/>
        <v>392.04900000000004</v>
      </c>
      <c r="Z13" s="19">
        <f t="shared" si="1"/>
        <v>620.776</v>
      </c>
      <c r="AA13" s="15">
        <f t="shared" si="17"/>
        <v>186.23279999999997</v>
      </c>
      <c r="AB13" s="15">
        <f t="shared" si="18"/>
        <v>65.18147999999998</v>
      </c>
      <c r="AC13" s="12">
        <f t="shared" si="19"/>
        <v>55.86983999999999</v>
      </c>
      <c r="AD13" s="117">
        <f t="shared" si="2"/>
        <v>320.294</v>
      </c>
      <c r="AE13" s="15">
        <f t="shared" si="20"/>
        <v>80.0735</v>
      </c>
      <c r="AF13" s="15">
        <f t="shared" si="21"/>
        <v>24.022049999999997</v>
      </c>
      <c r="AG13" s="15">
        <f t="shared" si="22"/>
        <v>16.0147</v>
      </c>
      <c r="AH13" s="68" t="s">
        <v>232</v>
      </c>
      <c r="AI13" s="19">
        <f t="shared" si="3"/>
        <v>50.8</v>
      </c>
      <c r="AJ13" s="15">
        <f t="shared" si="23"/>
        <v>10.16</v>
      </c>
      <c r="AK13" s="15">
        <f t="shared" si="24"/>
        <v>10.16</v>
      </c>
      <c r="AL13" s="15">
        <f t="shared" si="25"/>
        <v>6.096</v>
      </c>
      <c r="AM13" s="49">
        <v>1</v>
      </c>
      <c r="AN13" s="16">
        <v>0.95</v>
      </c>
      <c r="AO13" s="49">
        <v>1</v>
      </c>
      <c r="AP13" s="16">
        <v>1</v>
      </c>
      <c r="AQ13" s="16">
        <v>0.95</v>
      </c>
      <c r="AR13" s="16">
        <v>1</v>
      </c>
      <c r="AS13" s="16">
        <v>0.8</v>
      </c>
      <c r="AT13" s="16">
        <v>0.85</v>
      </c>
      <c r="AU13" s="16">
        <v>0.85</v>
      </c>
      <c r="AV13" s="49">
        <v>0.95</v>
      </c>
      <c r="AW13" s="49">
        <v>0.8</v>
      </c>
    </row>
    <row r="14" spans="1:49" s="17" customFormat="1" ht="27" customHeight="1">
      <c r="A14" s="68" t="s">
        <v>233</v>
      </c>
      <c r="B14" s="102">
        <v>5558</v>
      </c>
      <c r="C14" s="12">
        <f t="shared" si="4"/>
        <v>4168.5</v>
      </c>
      <c r="D14" s="12">
        <f t="shared" si="5"/>
        <v>4168.5</v>
      </c>
      <c r="E14" s="13">
        <v>12</v>
      </c>
      <c r="F14" s="13">
        <v>6</v>
      </c>
      <c r="G14" s="13">
        <v>6</v>
      </c>
      <c r="H14" s="13">
        <v>9</v>
      </c>
      <c r="I14" s="13">
        <v>12</v>
      </c>
      <c r="J14" s="14">
        <v>0.8</v>
      </c>
      <c r="K14" s="14">
        <v>0.95</v>
      </c>
      <c r="L14" s="14">
        <v>0.9</v>
      </c>
      <c r="M14" s="57">
        <f t="shared" si="6"/>
        <v>140.0616</v>
      </c>
      <c r="N14" s="114">
        <f t="shared" si="7"/>
        <v>25.011</v>
      </c>
      <c r="O14" s="15">
        <f t="shared" si="8"/>
        <v>22.5099</v>
      </c>
      <c r="P14" s="15">
        <f t="shared" si="9"/>
        <v>126.05544</v>
      </c>
      <c r="Q14" s="15">
        <f t="shared" si="10"/>
        <v>119.05236</v>
      </c>
      <c r="R14" s="68" t="s">
        <v>233</v>
      </c>
      <c r="S14" s="15">
        <f t="shared" si="11"/>
        <v>23.76045</v>
      </c>
      <c r="T14" s="15">
        <f t="shared" si="12"/>
        <v>22.5099</v>
      </c>
      <c r="U14" s="15">
        <f t="shared" si="13"/>
        <v>23.76045</v>
      </c>
      <c r="V14" s="15">
        <f t="shared" si="14"/>
        <v>21.259349999999998</v>
      </c>
      <c r="W14" s="19">
        <f t="shared" si="0"/>
        <v>490.2156</v>
      </c>
      <c r="X14" s="15">
        <f t="shared" si="15"/>
        <v>343.15092</v>
      </c>
      <c r="Y14" s="15">
        <f t="shared" si="16"/>
        <v>343.15092</v>
      </c>
      <c r="Z14" s="19">
        <f t="shared" si="1"/>
        <v>543.35008</v>
      </c>
      <c r="AA14" s="15">
        <f t="shared" si="17"/>
        <v>163.00502400000002</v>
      </c>
      <c r="AB14" s="15">
        <f t="shared" si="18"/>
        <v>57.051758400000004</v>
      </c>
      <c r="AC14" s="12">
        <f t="shared" si="19"/>
        <v>48.901507200000005</v>
      </c>
      <c r="AD14" s="117">
        <f t="shared" si="2"/>
        <v>280.34552</v>
      </c>
      <c r="AE14" s="15">
        <f t="shared" si="20"/>
        <v>70.08638</v>
      </c>
      <c r="AF14" s="15">
        <f t="shared" si="21"/>
        <v>21.025914</v>
      </c>
      <c r="AG14" s="15">
        <f t="shared" si="22"/>
        <v>14.017276000000003</v>
      </c>
      <c r="AH14" s="68" t="s">
        <v>233</v>
      </c>
      <c r="AI14" s="19">
        <f t="shared" si="3"/>
        <v>44.464</v>
      </c>
      <c r="AJ14" s="15">
        <f t="shared" si="23"/>
        <v>8.8928</v>
      </c>
      <c r="AK14" s="15">
        <f t="shared" si="24"/>
        <v>8.8928</v>
      </c>
      <c r="AL14" s="15">
        <f t="shared" si="25"/>
        <v>5.335679999999999</v>
      </c>
      <c r="AM14" s="49">
        <v>1</v>
      </c>
      <c r="AN14" s="16">
        <v>0.95</v>
      </c>
      <c r="AO14" s="49">
        <v>1</v>
      </c>
      <c r="AP14" s="16">
        <v>1</v>
      </c>
      <c r="AQ14" s="16">
        <v>0.95</v>
      </c>
      <c r="AR14" s="16">
        <v>1</v>
      </c>
      <c r="AS14" s="16">
        <v>0.8</v>
      </c>
      <c r="AT14" s="16">
        <v>0.85</v>
      </c>
      <c r="AU14" s="16">
        <v>0.85</v>
      </c>
      <c r="AV14" s="49">
        <v>0.95</v>
      </c>
      <c r="AW14" s="49">
        <v>0.8</v>
      </c>
    </row>
    <row r="15" spans="1:49" s="17" customFormat="1" ht="27" customHeight="1">
      <c r="A15" s="68" t="s">
        <v>234</v>
      </c>
      <c r="B15" s="102">
        <v>6350</v>
      </c>
      <c r="C15" s="12">
        <f t="shared" si="4"/>
        <v>4762.5</v>
      </c>
      <c r="D15" s="12">
        <f t="shared" si="5"/>
        <v>4762.5</v>
      </c>
      <c r="E15" s="13">
        <v>12</v>
      </c>
      <c r="F15" s="13">
        <v>6</v>
      </c>
      <c r="G15" s="13">
        <v>6</v>
      </c>
      <c r="H15" s="13">
        <v>9</v>
      </c>
      <c r="I15" s="13">
        <v>12</v>
      </c>
      <c r="J15" s="14">
        <v>0.8</v>
      </c>
      <c r="K15" s="14">
        <v>0.95</v>
      </c>
      <c r="L15" s="14">
        <v>0.9</v>
      </c>
      <c r="M15" s="57">
        <f t="shared" si="6"/>
        <v>160.02</v>
      </c>
      <c r="N15" s="114">
        <f t="shared" si="7"/>
        <v>28.575</v>
      </c>
      <c r="O15" s="15">
        <f t="shared" si="8"/>
        <v>25.7175</v>
      </c>
      <c r="P15" s="15">
        <f t="shared" si="9"/>
        <v>144.018</v>
      </c>
      <c r="Q15" s="15">
        <f t="shared" si="10"/>
        <v>136.017</v>
      </c>
      <c r="R15" s="68" t="s">
        <v>234</v>
      </c>
      <c r="S15" s="15">
        <f t="shared" si="11"/>
        <v>27.14625</v>
      </c>
      <c r="T15" s="15">
        <f t="shared" si="12"/>
        <v>25.7175</v>
      </c>
      <c r="U15" s="15">
        <f t="shared" si="13"/>
        <v>27.14625</v>
      </c>
      <c r="V15" s="15">
        <f t="shared" si="14"/>
        <v>24.28875</v>
      </c>
      <c r="W15" s="19">
        <f t="shared" si="0"/>
        <v>560.07</v>
      </c>
      <c r="X15" s="15">
        <f t="shared" si="15"/>
        <v>392.04900000000004</v>
      </c>
      <c r="Y15" s="15">
        <f t="shared" si="16"/>
        <v>392.04900000000004</v>
      </c>
      <c r="Z15" s="19">
        <f t="shared" si="1"/>
        <v>620.776</v>
      </c>
      <c r="AA15" s="15">
        <f t="shared" si="17"/>
        <v>186.23279999999997</v>
      </c>
      <c r="AB15" s="15">
        <f t="shared" si="18"/>
        <v>65.18147999999998</v>
      </c>
      <c r="AC15" s="12">
        <f t="shared" si="19"/>
        <v>55.86983999999999</v>
      </c>
      <c r="AD15" s="117">
        <f t="shared" si="2"/>
        <v>320.294</v>
      </c>
      <c r="AE15" s="15">
        <f t="shared" si="20"/>
        <v>80.0735</v>
      </c>
      <c r="AF15" s="15">
        <f t="shared" si="21"/>
        <v>24.022049999999997</v>
      </c>
      <c r="AG15" s="15">
        <f t="shared" si="22"/>
        <v>16.0147</v>
      </c>
      <c r="AH15" s="68" t="s">
        <v>234</v>
      </c>
      <c r="AI15" s="19">
        <f t="shared" si="3"/>
        <v>50.8</v>
      </c>
      <c r="AJ15" s="15">
        <f t="shared" si="23"/>
        <v>10.16</v>
      </c>
      <c r="AK15" s="15">
        <f t="shared" si="24"/>
        <v>10.16</v>
      </c>
      <c r="AL15" s="15">
        <f t="shared" si="25"/>
        <v>6.096</v>
      </c>
      <c r="AM15" s="49">
        <v>1</v>
      </c>
      <c r="AN15" s="16">
        <v>0.95</v>
      </c>
      <c r="AO15" s="49">
        <v>1</v>
      </c>
      <c r="AP15" s="16">
        <v>1</v>
      </c>
      <c r="AQ15" s="16">
        <v>0.95</v>
      </c>
      <c r="AR15" s="16">
        <v>1</v>
      </c>
      <c r="AS15" s="16">
        <v>0.8</v>
      </c>
      <c r="AT15" s="16">
        <v>0.85</v>
      </c>
      <c r="AU15" s="16">
        <v>0.85</v>
      </c>
      <c r="AV15" s="49">
        <v>0.95</v>
      </c>
      <c r="AW15" s="49">
        <v>0.8</v>
      </c>
    </row>
    <row r="16" spans="1:49" s="17" customFormat="1" ht="27" customHeight="1">
      <c r="A16" s="68" t="s">
        <v>235</v>
      </c>
      <c r="B16" s="102">
        <v>5600</v>
      </c>
      <c r="C16" s="12">
        <f t="shared" si="4"/>
        <v>4200</v>
      </c>
      <c r="D16" s="12">
        <f t="shared" si="5"/>
        <v>4200</v>
      </c>
      <c r="E16" s="13">
        <v>12</v>
      </c>
      <c r="F16" s="13">
        <v>6</v>
      </c>
      <c r="G16" s="13">
        <v>6</v>
      </c>
      <c r="H16" s="13">
        <v>9</v>
      </c>
      <c r="I16" s="13">
        <v>12</v>
      </c>
      <c r="J16" s="14">
        <v>0.8</v>
      </c>
      <c r="K16" s="14">
        <v>0.95</v>
      </c>
      <c r="L16" s="14">
        <v>0.9</v>
      </c>
      <c r="M16" s="57">
        <f t="shared" si="6"/>
        <v>141.12</v>
      </c>
      <c r="N16" s="114">
        <f t="shared" si="7"/>
        <v>25.2</v>
      </c>
      <c r="O16" s="15">
        <f t="shared" si="8"/>
        <v>22.68</v>
      </c>
      <c r="P16" s="15">
        <f t="shared" si="9"/>
        <v>127.00800000000001</v>
      </c>
      <c r="Q16" s="15">
        <f t="shared" si="10"/>
        <v>119.952</v>
      </c>
      <c r="R16" s="68" t="s">
        <v>235</v>
      </c>
      <c r="S16" s="15">
        <f t="shared" si="11"/>
        <v>23.939999999999998</v>
      </c>
      <c r="T16" s="15">
        <f t="shared" si="12"/>
        <v>22.68</v>
      </c>
      <c r="U16" s="15">
        <f t="shared" si="13"/>
        <v>23.939999999999998</v>
      </c>
      <c r="V16" s="15">
        <f t="shared" si="14"/>
        <v>21.419999999999998</v>
      </c>
      <c r="W16" s="19">
        <f t="shared" si="0"/>
        <v>493.92</v>
      </c>
      <c r="X16" s="15">
        <f t="shared" si="15"/>
        <v>345.74399999999997</v>
      </c>
      <c r="Y16" s="15">
        <f t="shared" si="16"/>
        <v>345.74399999999997</v>
      </c>
      <c r="Z16" s="19">
        <f t="shared" si="1"/>
        <v>547.456</v>
      </c>
      <c r="AA16" s="15">
        <f t="shared" si="17"/>
        <v>164.2368</v>
      </c>
      <c r="AB16" s="15">
        <f t="shared" si="18"/>
        <v>57.482879999999994</v>
      </c>
      <c r="AC16" s="12">
        <f t="shared" si="19"/>
        <v>49.27103999999999</v>
      </c>
      <c r="AD16" s="117">
        <f t="shared" si="2"/>
        <v>282.464</v>
      </c>
      <c r="AE16" s="15">
        <f t="shared" si="20"/>
        <v>70.616</v>
      </c>
      <c r="AF16" s="15">
        <f t="shared" si="21"/>
        <v>21.1848</v>
      </c>
      <c r="AG16" s="15">
        <f t="shared" si="22"/>
        <v>14.1232</v>
      </c>
      <c r="AH16" s="68" t="s">
        <v>235</v>
      </c>
      <c r="AI16" s="19">
        <f t="shared" si="3"/>
        <v>44.8</v>
      </c>
      <c r="AJ16" s="15">
        <f t="shared" si="23"/>
        <v>8.959999999999999</v>
      </c>
      <c r="AK16" s="15">
        <f t="shared" si="24"/>
        <v>8.959999999999999</v>
      </c>
      <c r="AL16" s="15">
        <f t="shared" si="25"/>
        <v>5.3759999999999994</v>
      </c>
      <c r="AM16" s="49">
        <v>1</v>
      </c>
      <c r="AN16" s="16">
        <v>0.95</v>
      </c>
      <c r="AO16" s="49">
        <v>1</v>
      </c>
      <c r="AP16" s="16">
        <v>1</v>
      </c>
      <c r="AQ16" s="16">
        <v>0.95</v>
      </c>
      <c r="AR16" s="16">
        <v>1</v>
      </c>
      <c r="AS16" s="16">
        <v>0.8</v>
      </c>
      <c r="AT16" s="16">
        <v>0.85</v>
      </c>
      <c r="AU16" s="16">
        <v>0.85</v>
      </c>
      <c r="AV16" s="49">
        <v>0.95</v>
      </c>
      <c r="AW16" s="49">
        <v>0.8</v>
      </c>
    </row>
    <row r="17" spans="1:49" s="17" customFormat="1" ht="27" customHeight="1">
      <c r="A17" s="68" t="s">
        <v>236</v>
      </c>
      <c r="B17" s="102">
        <v>13925</v>
      </c>
      <c r="C17" s="12">
        <f t="shared" si="4"/>
        <v>10443.75</v>
      </c>
      <c r="D17" s="12">
        <f t="shared" si="5"/>
        <v>10443.75</v>
      </c>
      <c r="E17" s="13">
        <v>12</v>
      </c>
      <c r="F17" s="13">
        <v>6</v>
      </c>
      <c r="G17" s="13">
        <v>6</v>
      </c>
      <c r="H17" s="13">
        <v>9</v>
      </c>
      <c r="I17" s="13">
        <v>12</v>
      </c>
      <c r="J17" s="14">
        <v>0.8</v>
      </c>
      <c r="K17" s="14">
        <v>0.95</v>
      </c>
      <c r="L17" s="14">
        <v>0.9</v>
      </c>
      <c r="M17" s="57">
        <f t="shared" si="6"/>
        <v>350.91</v>
      </c>
      <c r="N17" s="114">
        <f t="shared" si="7"/>
        <v>62.662499999999994</v>
      </c>
      <c r="O17" s="15">
        <f t="shared" si="8"/>
        <v>56.396249999999995</v>
      </c>
      <c r="P17" s="15">
        <f t="shared" si="9"/>
        <v>315.819</v>
      </c>
      <c r="Q17" s="15">
        <f t="shared" si="10"/>
        <v>298.2735</v>
      </c>
      <c r="R17" s="68" t="s">
        <v>236</v>
      </c>
      <c r="S17" s="15">
        <f t="shared" si="11"/>
        <v>59.529374999999995</v>
      </c>
      <c r="T17" s="15">
        <f t="shared" si="12"/>
        <v>56.396249999999995</v>
      </c>
      <c r="U17" s="15">
        <f t="shared" si="13"/>
        <v>59.529374999999995</v>
      </c>
      <c r="V17" s="15">
        <f t="shared" si="14"/>
        <v>53.263124999999995</v>
      </c>
      <c r="W17" s="19">
        <f>B17*0.0882</f>
        <v>1228.185</v>
      </c>
      <c r="X17" s="15">
        <f t="shared" si="15"/>
        <v>859.7294999999999</v>
      </c>
      <c r="Y17" s="15">
        <f t="shared" si="16"/>
        <v>859.7294999999999</v>
      </c>
      <c r="Z17" s="19">
        <f>B17*0.52*0.188</f>
        <v>1361.308</v>
      </c>
      <c r="AA17" s="15">
        <f t="shared" si="17"/>
        <v>408.3924</v>
      </c>
      <c r="AB17" s="15">
        <f t="shared" si="18"/>
        <v>142.93734</v>
      </c>
      <c r="AC17" s="12">
        <f t="shared" si="19"/>
        <v>122.51772</v>
      </c>
      <c r="AD17" s="117">
        <f>B17*0.52*0.097</f>
        <v>702.3770000000001</v>
      </c>
      <c r="AE17" s="15">
        <f t="shared" si="20"/>
        <v>175.59425000000002</v>
      </c>
      <c r="AF17" s="15">
        <f t="shared" si="21"/>
        <v>52.678275000000006</v>
      </c>
      <c r="AG17" s="15">
        <f t="shared" si="22"/>
        <v>35.11885</v>
      </c>
      <c r="AH17" s="68" t="s">
        <v>236</v>
      </c>
      <c r="AI17" s="19">
        <f>B17*8/1000</f>
        <v>111.4</v>
      </c>
      <c r="AJ17" s="15">
        <f t="shared" si="23"/>
        <v>22.28</v>
      </c>
      <c r="AK17" s="15">
        <f t="shared" si="24"/>
        <v>22.28</v>
      </c>
      <c r="AL17" s="15">
        <f t="shared" si="25"/>
        <v>13.368</v>
      </c>
      <c r="AM17" s="49">
        <v>1</v>
      </c>
      <c r="AN17" s="16">
        <v>0.95</v>
      </c>
      <c r="AO17" s="49">
        <v>1</v>
      </c>
      <c r="AP17" s="16">
        <v>1</v>
      </c>
      <c r="AQ17" s="16">
        <v>0.95</v>
      </c>
      <c r="AR17" s="16">
        <v>1</v>
      </c>
      <c r="AS17" s="16">
        <v>0.8</v>
      </c>
      <c r="AT17" s="16">
        <v>0.85</v>
      </c>
      <c r="AU17" s="16">
        <v>0.85</v>
      </c>
      <c r="AV17" s="49">
        <v>0.95</v>
      </c>
      <c r="AW17" s="49">
        <v>0.8</v>
      </c>
    </row>
    <row r="18" spans="1:49" s="17" customFormat="1" ht="27" customHeight="1">
      <c r="A18" s="68" t="s">
        <v>237</v>
      </c>
      <c r="B18" s="102">
        <v>12600</v>
      </c>
      <c r="C18" s="12">
        <f t="shared" si="4"/>
        <v>9450</v>
      </c>
      <c r="D18" s="12">
        <f t="shared" si="5"/>
        <v>9450</v>
      </c>
      <c r="E18" s="13">
        <v>12</v>
      </c>
      <c r="F18" s="13">
        <v>6</v>
      </c>
      <c r="G18" s="13">
        <v>6</v>
      </c>
      <c r="H18" s="13">
        <v>9</v>
      </c>
      <c r="I18" s="13">
        <v>12</v>
      </c>
      <c r="J18" s="14">
        <v>0.8</v>
      </c>
      <c r="K18" s="14">
        <v>0.95</v>
      </c>
      <c r="L18" s="14">
        <v>0.9</v>
      </c>
      <c r="M18" s="57">
        <f t="shared" si="6"/>
        <v>317.52</v>
      </c>
      <c r="N18" s="114">
        <f t="shared" si="7"/>
        <v>56.699999999999996</v>
      </c>
      <c r="O18" s="15">
        <f t="shared" si="8"/>
        <v>51.029999999999994</v>
      </c>
      <c r="P18" s="15">
        <f t="shared" si="9"/>
        <v>285.768</v>
      </c>
      <c r="Q18" s="15">
        <f t="shared" si="10"/>
        <v>269.892</v>
      </c>
      <c r="R18" s="68" t="s">
        <v>237</v>
      </c>
      <c r="S18" s="15">
        <f t="shared" si="11"/>
        <v>53.864999999999995</v>
      </c>
      <c r="T18" s="15">
        <f t="shared" si="12"/>
        <v>51.029999999999994</v>
      </c>
      <c r="U18" s="15">
        <f t="shared" si="13"/>
        <v>53.864999999999995</v>
      </c>
      <c r="V18" s="15">
        <f t="shared" si="14"/>
        <v>48.19499999999999</v>
      </c>
      <c r="W18" s="19">
        <f>B18*0.0882</f>
        <v>1111.32</v>
      </c>
      <c r="X18" s="15">
        <f t="shared" si="15"/>
        <v>777.9239999999999</v>
      </c>
      <c r="Y18" s="15">
        <f t="shared" si="16"/>
        <v>777.9239999999999</v>
      </c>
      <c r="Z18" s="19">
        <f>B18*0.52*0.188</f>
        <v>1231.776</v>
      </c>
      <c r="AA18" s="15">
        <f t="shared" si="17"/>
        <v>369.5328</v>
      </c>
      <c r="AB18" s="15">
        <f t="shared" si="18"/>
        <v>129.33648</v>
      </c>
      <c r="AC18" s="12">
        <f t="shared" si="19"/>
        <v>110.85984</v>
      </c>
      <c r="AD18" s="117">
        <f>B18*0.52*0.097</f>
        <v>635.544</v>
      </c>
      <c r="AE18" s="15">
        <f t="shared" si="20"/>
        <v>158.886</v>
      </c>
      <c r="AF18" s="15">
        <f t="shared" si="21"/>
        <v>47.6658</v>
      </c>
      <c r="AG18" s="15">
        <f t="shared" si="22"/>
        <v>31.7772</v>
      </c>
      <c r="AH18" s="68" t="s">
        <v>237</v>
      </c>
      <c r="AI18" s="19">
        <f>B18*8/1000</f>
        <v>100.8</v>
      </c>
      <c r="AJ18" s="15">
        <f t="shared" si="23"/>
        <v>20.16</v>
      </c>
      <c r="AK18" s="15">
        <f t="shared" si="24"/>
        <v>20.16</v>
      </c>
      <c r="AL18" s="15">
        <f t="shared" si="25"/>
        <v>12.096</v>
      </c>
      <c r="AM18" s="49">
        <v>1</v>
      </c>
      <c r="AN18" s="16">
        <v>0.95</v>
      </c>
      <c r="AO18" s="49">
        <v>1</v>
      </c>
      <c r="AP18" s="16">
        <v>1</v>
      </c>
      <c r="AQ18" s="16">
        <v>0.95</v>
      </c>
      <c r="AR18" s="16">
        <v>1</v>
      </c>
      <c r="AS18" s="16">
        <v>0.8</v>
      </c>
      <c r="AT18" s="16">
        <v>0.85</v>
      </c>
      <c r="AU18" s="16">
        <v>0.85</v>
      </c>
      <c r="AV18" s="49">
        <v>0.95</v>
      </c>
      <c r="AW18" s="49">
        <v>0.8</v>
      </c>
    </row>
    <row r="19" spans="1:49" s="23" customFormat="1" ht="27" customHeight="1">
      <c r="A19" s="62" t="s">
        <v>238</v>
      </c>
      <c r="B19" s="19">
        <f>SUM(B7:B18)</f>
        <v>128162</v>
      </c>
      <c r="C19" s="19">
        <f>SUM(C7:C18)</f>
        <v>96121.5</v>
      </c>
      <c r="D19" s="19">
        <f>SUM(D7:D18)</f>
        <v>96121.5</v>
      </c>
      <c r="E19" s="18">
        <v>12</v>
      </c>
      <c r="F19" s="18">
        <v>6</v>
      </c>
      <c r="G19" s="18">
        <f>SUM(G7:G18)</f>
        <v>72</v>
      </c>
      <c r="H19" s="18">
        <f>SUM(H7:H18)</f>
        <v>108</v>
      </c>
      <c r="I19" s="18">
        <f>SUM(I7:I18)</f>
        <v>144</v>
      </c>
      <c r="J19" s="20">
        <v>0.8</v>
      </c>
      <c r="K19" s="20">
        <v>0.95</v>
      </c>
      <c r="L19" s="20">
        <v>0.9</v>
      </c>
      <c r="M19" s="21">
        <f>SUM(M7:M18)</f>
        <v>3229.6823999999997</v>
      </c>
      <c r="N19" s="19">
        <f>SUM(N7:N18)</f>
        <v>576.729</v>
      </c>
      <c r="O19" s="19">
        <f>SUM(O7:O18)</f>
        <v>519.0561</v>
      </c>
      <c r="P19" s="19">
        <f>SUM(P7:P18)</f>
        <v>2906.7141599999995</v>
      </c>
      <c r="Q19" s="19">
        <f>SUM(Q7:Q18)</f>
        <v>2745.2300399999995</v>
      </c>
      <c r="R19" s="62" t="s">
        <v>238</v>
      </c>
      <c r="S19" s="19">
        <f aca="true" t="shared" si="26" ref="S19:AG19">SUM(S7:S18)</f>
        <v>547.8925499999999</v>
      </c>
      <c r="T19" s="19">
        <f t="shared" si="26"/>
        <v>519.0561</v>
      </c>
      <c r="U19" s="19">
        <f t="shared" si="26"/>
        <v>547.8925499999999</v>
      </c>
      <c r="V19" s="19">
        <f t="shared" si="26"/>
        <v>490.21964999999994</v>
      </c>
      <c r="W19" s="19">
        <f t="shared" si="26"/>
        <v>11303.888399999998</v>
      </c>
      <c r="X19" s="19">
        <f t="shared" si="26"/>
        <v>7912.72188</v>
      </c>
      <c r="Y19" s="19">
        <f t="shared" si="26"/>
        <v>7912.72188</v>
      </c>
      <c r="Z19" s="19">
        <f t="shared" si="26"/>
        <v>12529.11712</v>
      </c>
      <c r="AA19" s="19">
        <f t="shared" si="26"/>
        <v>3758.7351360000002</v>
      </c>
      <c r="AB19" s="19">
        <f t="shared" si="26"/>
        <v>1315.5572975999999</v>
      </c>
      <c r="AC19" s="22">
        <f t="shared" si="26"/>
        <v>1127.6205407999998</v>
      </c>
      <c r="AD19" s="19">
        <f t="shared" si="26"/>
        <v>6464.49128</v>
      </c>
      <c r="AE19" s="19">
        <f t="shared" si="26"/>
        <v>1616.12282</v>
      </c>
      <c r="AF19" s="22">
        <f t="shared" si="26"/>
        <v>484.836846</v>
      </c>
      <c r="AG19" s="22">
        <f t="shared" si="26"/>
        <v>323.2245640000001</v>
      </c>
      <c r="AH19" s="62" t="s">
        <v>238</v>
      </c>
      <c r="AI19" s="22">
        <f>SUM(AI7:AI18)</f>
        <v>1025.296</v>
      </c>
      <c r="AJ19" s="22">
        <f>SUM(AJ7:AJ18)</f>
        <v>205.0592</v>
      </c>
      <c r="AK19" s="22">
        <f>SUM(AK7:AK18)</f>
        <v>205.0592</v>
      </c>
      <c r="AL19" s="22">
        <f>SUM(AL7:AL18)</f>
        <v>123.03552000000002</v>
      </c>
      <c r="AM19" s="109">
        <v>1</v>
      </c>
      <c r="AN19" s="50">
        <v>0.95</v>
      </c>
      <c r="AO19" s="109">
        <v>1</v>
      </c>
      <c r="AP19" s="50">
        <v>1</v>
      </c>
      <c r="AQ19" s="50">
        <v>0.95</v>
      </c>
      <c r="AR19" s="50">
        <v>1</v>
      </c>
      <c r="AS19" s="50">
        <v>0.8</v>
      </c>
      <c r="AT19" s="50">
        <v>0.85</v>
      </c>
      <c r="AU19" s="50">
        <v>0.85</v>
      </c>
      <c r="AV19" s="109">
        <v>0.95</v>
      </c>
      <c r="AW19" s="109">
        <v>0.8</v>
      </c>
    </row>
    <row r="20" spans="1:39" s="26" customFormat="1" ht="16.5" customHeight="1">
      <c r="A20" s="150" t="s">
        <v>239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24"/>
      <c r="AK20" s="24"/>
      <c r="AL20" s="24"/>
      <c r="AM20" s="25"/>
    </row>
    <row r="21" spans="12:39" ht="14.25">
      <c r="L21" s="64"/>
      <c r="AM21" s="64"/>
    </row>
    <row r="22" spans="12:39" ht="14.25">
      <c r="L22" s="64"/>
      <c r="AM22" s="64"/>
    </row>
  </sheetData>
  <sheetProtection/>
  <mergeCells count="65">
    <mergeCell ref="AV5:AV6"/>
    <mergeCell ref="AM3:AU4"/>
    <mergeCell ref="AV3:AV4"/>
    <mergeCell ref="AW3:AW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1:Q1"/>
    <mergeCell ref="R1:AG1"/>
    <mergeCell ref="AH1:AQ1"/>
    <mergeCell ref="AD2:AI2"/>
    <mergeCell ref="A3:A4"/>
    <mergeCell ref="B3:B6"/>
    <mergeCell ref="C3:D4"/>
    <mergeCell ref="E3:J4"/>
    <mergeCell ref="J5:J6"/>
    <mergeCell ref="AD3:AG4"/>
    <mergeCell ref="AH3:AH4"/>
    <mergeCell ref="K3:L4"/>
    <mergeCell ref="M3:Q4"/>
    <mergeCell ref="R3:R4"/>
    <mergeCell ref="S3:V4"/>
    <mergeCell ref="K5:K6"/>
    <mergeCell ref="L5:L6"/>
    <mergeCell ref="AI3:AL4"/>
    <mergeCell ref="C5:C6"/>
    <mergeCell ref="D5:D6"/>
    <mergeCell ref="E5:E6"/>
    <mergeCell ref="F5:F6"/>
    <mergeCell ref="G5:G6"/>
    <mergeCell ref="H5:H6"/>
    <mergeCell ref="I5:I6"/>
    <mergeCell ref="W3:Y4"/>
    <mergeCell ref="Z3:AC4"/>
    <mergeCell ref="M5:M6"/>
    <mergeCell ref="N5:N6"/>
    <mergeCell ref="O5:O6"/>
    <mergeCell ref="P5:P6"/>
    <mergeCell ref="Q5:Q6"/>
    <mergeCell ref="S5:S6"/>
    <mergeCell ref="T5:T6"/>
    <mergeCell ref="U5:U6"/>
    <mergeCell ref="V5:V6"/>
    <mergeCell ref="W5:W6"/>
    <mergeCell ref="AE5:AE6"/>
    <mergeCell ref="X5:X6"/>
    <mergeCell ref="Y5:Y6"/>
    <mergeCell ref="Z5:Z6"/>
    <mergeCell ref="AA5:AA6"/>
    <mergeCell ref="A20:AI20"/>
    <mergeCell ref="AK5:AK6"/>
    <mergeCell ref="AL5:AL6"/>
    <mergeCell ref="AF5:AF6"/>
    <mergeCell ref="AG5:AG6"/>
    <mergeCell ref="AI5:AI6"/>
    <mergeCell ref="AJ5:AJ6"/>
    <mergeCell ref="AB5:AB6"/>
    <mergeCell ref="AC5:AC6"/>
    <mergeCell ref="AD5:AD6"/>
  </mergeCells>
  <printOptions/>
  <pageMargins left="0.75" right="0.75" top="1" bottom="1" header="0.5" footer="0.5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8"/>
  </sheetPr>
  <dimension ref="A1:AW16"/>
  <sheetViews>
    <sheetView workbookViewId="0" topLeftCell="AB1">
      <selection activeCell="AH1" sqref="AH1:AW1"/>
    </sheetView>
  </sheetViews>
  <sheetFormatPr defaultColWidth="9.00390625" defaultRowHeight="14.25"/>
  <cols>
    <col min="1" max="1" width="10.00390625" style="63" customWidth="1"/>
    <col min="2" max="2" width="7.875" style="1" customWidth="1"/>
    <col min="3" max="4" width="7.00390625" style="3" customWidth="1"/>
    <col min="5" max="9" width="6.375" style="3" customWidth="1"/>
    <col min="10" max="12" width="7.00390625" style="3" customWidth="1"/>
    <col min="13" max="14" width="6.875" style="1" customWidth="1"/>
    <col min="15" max="15" width="6.875" style="6" customWidth="1"/>
    <col min="16" max="17" width="6.875" style="7" customWidth="1"/>
    <col min="18" max="18" width="9.875" style="7" customWidth="1"/>
    <col min="19" max="19" width="7.125" style="4" customWidth="1"/>
    <col min="20" max="20" width="9.625" style="4" customWidth="1"/>
    <col min="21" max="21" width="7.25390625" style="4" customWidth="1"/>
    <col min="22" max="22" width="7.25390625" style="7" customWidth="1"/>
    <col min="23" max="23" width="7.625" style="29" customWidth="1"/>
    <col min="24" max="25" width="7.625" style="4" customWidth="1"/>
    <col min="26" max="26" width="6.75390625" style="2" customWidth="1"/>
    <col min="27" max="28" width="6.75390625" style="4" customWidth="1"/>
    <col min="29" max="29" width="6.75390625" style="8" customWidth="1"/>
    <col min="30" max="30" width="7.25390625" style="30" customWidth="1"/>
    <col min="31" max="32" width="7.25390625" style="8" customWidth="1"/>
    <col min="33" max="33" width="7.25390625" style="4" customWidth="1"/>
    <col min="34" max="34" width="10.25390625" style="4" customWidth="1"/>
    <col min="35" max="35" width="7.875" style="30" customWidth="1"/>
    <col min="36" max="36" width="7.875" style="4" customWidth="1"/>
    <col min="37" max="38" width="7.875" style="8" customWidth="1"/>
    <col min="39" max="49" width="7.875" style="3" customWidth="1"/>
    <col min="50" max="16384" width="9.00390625" style="3" customWidth="1"/>
  </cols>
  <sheetData>
    <row r="1" spans="1:49" s="28" customFormat="1" ht="22.5" customHeight="1">
      <c r="A1" s="136" t="s">
        <v>335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 t="s">
        <v>340</v>
      </c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 t="s">
        <v>340</v>
      </c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</row>
    <row r="2" spans="1:38" s="4" customFormat="1" ht="15" customHeight="1">
      <c r="A2" s="31" t="s">
        <v>188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51"/>
      <c r="N2" s="51"/>
      <c r="O2" s="51"/>
      <c r="P2" s="51"/>
      <c r="Q2" s="5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9"/>
      <c r="AD2" s="137"/>
      <c r="AE2" s="137"/>
      <c r="AF2" s="137"/>
      <c r="AG2" s="138"/>
      <c r="AH2" s="138"/>
      <c r="AI2" s="137"/>
      <c r="AJ2" s="9"/>
      <c r="AK2" s="10"/>
      <c r="AL2" s="10"/>
    </row>
    <row r="3" spans="1:49" s="11" customFormat="1" ht="17.25" customHeight="1">
      <c r="A3" s="159" t="s">
        <v>158</v>
      </c>
      <c r="B3" s="139" t="s">
        <v>159</v>
      </c>
      <c r="C3" s="123" t="s">
        <v>160</v>
      </c>
      <c r="D3" s="123"/>
      <c r="E3" s="122" t="s">
        <v>161</v>
      </c>
      <c r="F3" s="123"/>
      <c r="G3" s="123"/>
      <c r="H3" s="123"/>
      <c r="I3" s="123"/>
      <c r="J3" s="128"/>
      <c r="K3" s="123" t="s">
        <v>31</v>
      </c>
      <c r="L3" s="123"/>
      <c r="M3" s="122" t="s">
        <v>162</v>
      </c>
      <c r="N3" s="123"/>
      <c r="O3" s="123"/>
      <c r="P3" s="123"/>
      <c r="Q3" s="128"/>
      <c r="R3" s="157" t="s">
        <v>158</v>
      </c>
      <c r="S3" s="122" t="s">
        <v>163</v>
      </c>
      <c r="T3" s="123"/>
      <c r="U3" s="123"/>
      <c r="V3" s="123"/>
      <c r="W3" s="122" t="s">
        <v>164</v>
      </c>
      <c r="X3" s="123"/>
      <c r="Y3" s="123"/>
      <c r="Z3" s="122" t="s">
        <v>165</v>
      </c>
      <c r="AA3" s="123"/>
      <c r="AB3" s="123"/>
      <c r="AC3" s="123"/>
      <c r="AD3" s="122" t="s">
        <v>166</v>
      </c>
      <c r="AE3" s="123"/>
      <c r="AF3" s="123"/>
      <c r="AG3" s="128"/>
      <c r="AH3" s="157" t="s">
        <v>158</v>
      </c>
      <c r="AI3" s="119" t="s">
        <v>167</v>
      </c>
      <c r="AJ3" s="120"/>
      <c r="AK3" s="120"/>
      <c r="AL3" s="121"/>
      <c r="AM3" s="123" t="s">
        <v>336</v>
      </c>
      <c r="AN3" s="123"/>
      <c r="AO3" s="123"/>
      <c r="AP3" s="123"/>
      <c r="AQ3" s="123"/>
      <c r="AR3" s="123"/>
      <c r="AS3" s="123"/>
      <c r="AT3" s="123"/>
      <c r="AU3" s="128"/>
      <c r="AV3" s="151" t="s">
        <v>338</v>
      </c>
      <c r="AW3" s="153" t="s">
        <v>48</v>
      </c>
    </row>
    <row r="4" spans="1:49" s="5" customFormat="1" ht="14.25" customHeight="1">
      <c r="A4" s="160"/>
      <c r="B4" s="140"/>
      <c r="C4" s="125"/>
      <c r="D4" s="125"/>
      <c r="E4" s="124"/>
      <c r="F4" s="125"/>
      <c r="G4" s="125"/>
      <c r="H4" s="125"/>
      <c r="I4" s="125"/>
      <c r="J4" s="129"/>
      <c r="K4" s="125"/>
      <c r="L4" s="125"/>
      <c r="M4" s="124"/>
      <c r="N4" s="125"/>
      <c r="O4" s="125"/>
      <c r="P4" s="125"/>
      <c r="Q4" s="129"/>
      <c r="R4" s="158"/>
      <c r="S4" s="124"/>
      <c r="T4" s="125"/>
      <c r="U4" s="125"/>
      <c r="V4" s="125"/>
      <c r="W4" s="124"/>
      <c r="X4" s="125"/>
      <c r="Y4" s="125"/>
      <c r="Z4" s="124"/>
      <c r="AA4" s="125"/>
      <c r="AB4" s="125"/>
      <c r="AC4" s="125"/>
      <c r="AD4" s="124"/>
      <c r="AE4" s="125"/>
      <c r="AF4" s="125"/>
      <c r="AG4" s="129"/>
      <c r="AH4" s="158"/>
      <c r="AI4" s="141"/>
      <c r="AJ4" s="142"/>
      <c r="AK4" s="142"/>
      <c r="AL4" s="143"/>
      <c r="AM4" s="125"/>
      <c r="AN4" s="125"/>
      <c r="AO4" s="125"/>
      <c r="AP4" s="125"/>
      <c r="AQ4" s="125"/>
      <c r="AR4" s="125"/>
      <c r="AS4" s="125"/>
      <c r="AT4" s="125"/>
      <c r="AU4" s="129"/>
      <c r="AV4" s="152"/>
      <c r="AW4" s="154"/>
    </row>
    <row r="5" spans="1:49" s="5" customFormat="1" ht="26.25" customHeight="1">
      <c r="A5" s="52"/>
      <c r="B5" s="140"/>
      <c r="C5" s="132" t="s">
        <v>168</v>
      </c>
      <c r="D5" s="126" t="s">
        <v>169</v>
      </c>
      <c r="E5" s="144" t="s">
        <v>170</v>
      </c>
      <c r="F5" s="126" t="s">
        <v>171</v>
      </c>
      <c r="G5" s="144" t="s">
        <v>343</v>
      </c>
      <c r="H5" s="126" t="s">
        <v>172</v>
      </c>
      <c r="I5" s="126" t="s">
        <v>173</v>
      </c>
      <c r="J5" s="126" t="s">
        <v>174</v>
      </c>
      <c r="K5" s="126" t="s">
        <v>175</v>
      </c>
      <c r="L5" s="132" t="s">
        <v>176</v>
      </c>
      <c r="M5" s="149" t="s">
        <v>177</v>
      </c>
      <c r="N5" s="149" t="s">
        <v>178</v>
      </c>
      <c r="O5" s="149" t="s">
        <v>179</v>
      </c>
      <c r="P5" s="149" t="s">
        <v>180</v>
      </c>
      <c r="Q5" s="149" t="s">
        <v>181</v>
      </c>
      <c r="R5" s="52"/>
      <c r="S5" s="126" t="s">
        <v>67</v>
      </c>
      <c r="T5" s="126" t="s">
        <v>68</v>
      </c>
      <c r="U5" s="126" t="s">
        <v>69</v>
      </c>
      <c r="V5" s="145" t="s">
        <v>70</v>
      </c>
      <c r="W5" s="126" t="s">
        <v>71</v>
      </c>
      <c r="X5" s="126" t="s">
        <v>72</v>
      </c>
      <c r="Y5" s="126" t="s">
        <v>73</v>
      </c>
      <c r="Z5" s="126" t="s">
        <v>74</v>
      </c>
      <c r="AA5" s="126" t="s">
        <v>75</v>
      </c>
      <c r="AB5" s="126" t="s">
        <v>76</v>
      </c>
      <c r="AC5" s="147" t="s">
        <v>77</v>
      </c>
      <c r="AD5" s="149" t="s">
        <v>78</v>
      </c>
      <c r="AE5" s="149" t="s">
        <v>75</v>
      </c>
      <c r="AF5" s="149" t="s">
        <v>79</v>
      </c>
      <c r="AG5" s="156" t="s">
        <v>80</v>
      </c>
      <c r="AH5" s="52"/>
      <c r="AI5" s="149" t="s">
        <v>182</v>
      </c>
      <c r="AJ5" s="149" t="s">
        <v>183</v>
      </c>
      <c r="AK5" s="126" t="s">
        <v>184</v>
      </c>
      <c r="AL5" s="126" t="s">
        <v>185</v>
      </c>
      <c r="AM5" s="144" t="s">
        <v>18</v>
      </c>
      <c r="AN5" s="144" t="s">
        <v>19</v>
      </c>
      <c r="AO5" s="144" t="s">
        <v>20</v>
      </c>
      <c r="AP5" s="126" t="s">
        <v>329</v>
      </c>
      <c r="AQ5" s="126" t="s">
        <v>330</v>
      </c>
      <c r="AR5" s="126" t="s">
        <v>331</v>
      </c>
      <c r="AS5" s="126" t="s">
        <v>332</v>
      </c>
      <c r="AT5" s="126" t="s">
        <v>333</v>
      </c>
      <c r="AU5" s="126" t="s">
        <v>334</v>
      </c>
      <c r="AV5" s="144" t="s">
        <v>21</v>
      </c>
      <c r="AW5" s="154"/>
    </row>
    <row r="6" spans="1:49" s="5" customFormat="1" ht="54" customHeight="1">
      <c r="A6" s="53" t="s">
        <v>81</v>
      </c>
      <c r="B6" s="118"/>
      <c r="C6" s="133"/>
      <c r="D6" s="127"/>
      <c r="E6" s="144"/>
      <c r="F6" s="127"/>
      <c r="G6" s="144"/>
      <c r="H6" s="127"/>
      <c r="I6" s="127"/>
      <c r="J6" s="127"/>
      <c r="K6" s="127"/>
      <c r="L6" s="133"/>
      <c r="M6" s="127"/>
      <c r="N6" s="127"/>
      <c r="O6" s="127"/>
      <c r="P6" s="127"/>
      <c r="Q6" s="127"/>
      <c r="R6" s="54" t="s">
        <v>81</v>
      </c>
      <c r="S6" s="127"/>
      <c r="T6" s="127"/>
      <c r="U6" s="127"/>
      <c r="V6" s="146"/>
      <c r="W6" s="127"/>
      <c r="X6" s="127"/>
      <c r="Y6" s="127"/>
      <c r="Z6" s="127"/>
      <c r="AA6" s="127"/>
      <c r="AB6" s="127"/>
      <c r="AC6" s="148"/>
      <c r="AD6" s="127"/>
      <c r="AE6" s="127"/>
      <c r="AF6" s="127"/>
      <c r="AG6" s="148"/>
      <c r="AH6" s="54" t="s">
        <v>81</v>
      </c>
      <c r="AI6" s="127"/>
      <c r="AJ6" s="127"/>
      <c r="AK6" s="127"/>
      <c r="AL6" s="127"/>
      <c r="AM6" s="144"/>
      <c r="AN6" s="144"/>
      <c r="AO6" s="144"/>
      <c r="AP6" s="127"/>
      <c r="AQ6" s="127"/>
      <c r="AR6" s="127"/>
      <c r="AS6" s="127"/>
      <c r="AT6" s="127"/>
      <c r="AU6" s="127"/>
      <c r="AV6" s="144"/>
      <c r="AW6" s="155"/>
    </row>
    <row r="7" spans="1:49" s="17" customFormat="1" ht="38.25" customHeight="1">
      <c r="A7" s="72" t="s">
        <v>189</v>
      </c>
      <c r="B7" s="73">
        <v>36700</v>
      </c>
      <c r="C7" s="12">
        <f>B7*0.75</f>
        <v>27525</v>
      </c>
      <c r="D7" s="12">
        <f>B7*0.75</f>
        <v>27525</v>
      </c>
      <c r="E7" s="13">
        <v>12</v>
      </c>
      <c r="F7" s="13">
        <v>6</v>
      </c>
      <c r="G7" s="13">
        <v>6</v>
      </c>
      <c r="H7" s="13">
        <v>9</v>
      </c>
      <c r="I7" s="13">
        <v>12</v>
      </c>
      <c r="J7" s="14">
        <v>0.8</v>
      </c>
      <c r="K7" s="14">
        <v>0.95</v>
      </c>
      <c r="L7" s="14">
        <v>0.9</v>
      </c>
      <c r="M7" s="57">
        <v>2013</v>
      </c>
      <c r="N7" s="57">
        <v>175</v>
      </c>
      <c r="O7" s="15">
        <f>N7*0.9</f>
        <v>157.5</v>
      </c>
      <c r="P7" s="15">
        <f>M7*0.9</f>
        <v>1811.7</v>
      </c>
      <c r="Q7" s="15">
        <f>M7*0.85</f>
        <v>1711.05</v>
      </c>
      <c r="R7" s="72" t="s">
        <v>189</v>
      </c>
      <c r="S7" s="15">
        <f>N7*0.95</f>
        <v>166.25</v>
      </c>
      <c r="T7" s="15">
        <f>N7*0.9</f>
        <v>157.5</v>
      </c>
      <c r="U7" s="15">
        <f>N7*0.95</f>
        <v>166.25</v>
      </c>
      <c r="V7" s="15">
        <f>N7*0.85</f>
        <v>148.75</v>
      </c>
      <c r="W7" s="19">
        <f>B7*0.0882</f>
        <v>3236.94</v>
      </c>
      <c r="X7" s="15">
        <f>W7*0.7</f>
        <v>2265.8579999999997</v>
      </c>
      <c r="Y7" s="15">
        <f>W7*0.7</f>
        <v>2265.8579999999997</v>
      </c>
      <c r="Z7" s="19">
        <f>B7*0.52*0.188</f>
        <v>3587.792</v>
      </c>
      <c r="AA7" s="15">
        <f>Z7*0.3</f>
        <v>1076.3375999999998</v>
      </c>
      <c r="AB7" s="15">
        <f>AA7*0.35</f>
        <v>376.7181599999999</v>
      </c>
      <c r="AC7" s="12">
        <f>AA7*0.3</f>
        <v>322.90127999999993</v>
      </c>
      <c r="AD7" s="58">
        <f>B7*0.52*0.097</f>
        <v>1851.1480000000001</v>
      </c>
      <c r="AE7" s="15">
        <f>AD7*0.25</f>
        <v>462.78700000000003</v>
      </c>
      <c r="AF7" s="15">
        <f>AE7*0.3</f>
        <v>138.83610000000002</v>
      </c>
      <c r="AG7" s="48">
        <f>AE7*0.2</f>
        <v>92.55740000000002</v>
      </c>
      <c r="AH7" s="72" t="s">
        <v>189</v>
      </c>
      <c r="AI7" s="19">
        <f>B7*8/1000</f>
        <v>293.6</v>
      </c>
      <c r="AJ7" s="15">
        <f>AI7*0.2</f>
        <v>58.720000000000006</v>
      </c>
      <c r="AK7" s="15">
        <f>AI7*0.2</f>
        <v>58.720000000000006</v>
      </c>
      <c r="AL7" s="15">
        <f>AK7*0.6</f>
        <v>35.232</v>
      </c>
      <c r="AM7" s="16">
        <v>1</v>
      </c>
      <c r="AN7" s="16">
        <v>0.95</v>
      </c>
      <c r="AO7" s="16">
        <v>1</v>
      </c>
      <c r="AP7" s="16">
        <v>1</v>
      </c>
      <c r="AQ7" s="16">
        <v>0.95</v>
      </c>
      <c r="AR7" s="16">
        <v>1</v>
      </c>
      <c r="AS7" s="16">
        <v>0.8</v>
      </c>
      <c r="AT7" s="16">
        <v>0.85</v>
      </c>
      <c r="AU7" s="16">
        <v>0.85</v>
      </c>
      <c r="AV7" s="16">
        <v>0.95</v>
      </c>
      <c r="AW7" s="16">
        <v>0.8</v>
      </c>
    </row>
    <row r="8" spans="1:49" s="26" customFormat="1" ht="29.25" customHeight="1">
      <c r="A8" s="150" t="s">
        <v>187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24"/>
      <c r="AK8" s="24"/>
      <c r="AL8" s="24"/>
      <c r="AM8" s="104"/>
      <c r="AN8" s="105"/>
      <c r="AO8" s="104"/>
      <c r="AP8" s="105"/>
      <c r="AQ8" s="105"/>
      <c r="AR8" s="105"/>
      <c r="AS8" s="105"/>
      <c r="AT8" s="105"/>
      <c r="AU8" s="105"/>
      <c r="AV8" s="104"/>
      <c r="AW8" s="104"/>
    </row>
    <row r="9" spans="12:49" ht="14.25">
      <c r="L9" s="64"/>
      <c r="AM9" s="106"/>
      <c r="AN9" s="107"/>
      <c r="AO9" s="106"/>
      <c r="AP9" s="107"/>
      <c r="AQ9" s="107"/>
      <c r="AR9" s="107"/>
      <c r="AS9" s="107"/>
      <c r="AT9" s="107"/>
      <c r="AU9" s="107"/>
      <c r="AV9" s="106"/>
      <c r="AW9" s="106"/>
    </row>
    <row r="10" spans="12:49" ht="14.25">
      <c r="L10" s="64"/>
      <c r="AM10" s="106"/>
      <c r="AN10" s="107"/>
      <c r="AO10" s="106"/>
      <c r="AP10" s="107"/>
      <c r="AQ10" s="107"/>
      <c r="AR10" s="107"/>
      <c r="AS10" s="107"/>
      <c r="AT10" s="107"/>
      <c r="AU10" s="107"/>
      <c r="AV10" s="106"/>
      <c r="AW10" s="106"/>
    </row>
    <row r="11" spans="39:49" ht="14.25">
      <c r="AM11" s="106"/>
      <c r="AN11" s="107"/>
      <c r="AO11" s="106"/>
      <c r="AP11" s="107"/>
      <c r="AQ11" s="107"/>
      <c r="AR11" s="107"/>
      <c r="AS11" s="107"/>
      <c r="AT11" s="107"/>
      <c r="AU11" s="107"/>
      <c r="AV11" s="106"/>
      <c r="AW11" s="106"/>
    </row>
    <row r="12" spans="39:49" ht="14.25">
      <c r="AM12" s="106"/>
      <c r="AN12" s="107"/>
      <c r="AO12" s="106"/>
      <c r="AP12" s="107"/>
      <c r="AQ12" s="107"/>
      <c r="AR12" s="107"/>
      <c r="AS12" s="107"/>
      <c r="AT12" s="107"/>
      <c r="AU12" s="107"/>
      <c r="AV12" s="106"/>
      <c r="AW12" s="106"/>
    </row>
    <row r="13" spans="39:49" ht="14.25">
      <c r="AM13" s="106"/>
      <c r="AN13" s="107"/>
      <c r="AO13" s="106"/>
      <c r="AP13" s="107"/>
      <c r="AQ13" s="107"/>
      <c r="AR13" s="107"/>
      <c r="AS13" s="107"/>
      <c r="AT13" s="107"/>
      <c r="AU13" s="107"/>
      <c r="AV13" s="106"/>
      <c r="AW13" s="106"/>
    </row>
    <row r="14" spans="39:49" ht="14.25">
      <c r="AM14" s="106"/>
      <c r="AN14" s="107"/>
      <c r="AO14" s="106"/>
      <c r="AP14" s="107"/>
      <c r="AQ14" s="107"/>
      <c r="AR14" s="107"/>
      <c r="AS14" s="107"/>
      <c r="AT14" s="107"/>
      <c r="AU14" s="107"/>
      <c r="AV14" s="106"/>
      <c r="AW14" s="106"/>
    </row>
    <row r="15" spans="39:49" ht="14.25">
      <c r="AM15" s="106"/>
      <c r="AN15" s="107"/>
      <c r="AO15" s="106"/>
      <c r="AP15" s="107"/>
      <c r="AQ15" s="107"/>
      <c r="AR15" s="107"/>
      <c r="AS15" s="107"/>
      <c r="AT15" s="107"/>
      <c r="AU15" s="107"/>
      <c r="AV15" s="106"/>
      <c r="AW15" s="106"/>
    </row>
    <row r="16" spans="39:49" ht="14.25"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</row>
  </sheetData>
  <sheetProtection/>
  <mergeCells count="65">
    <mergeCell ref="AV5:AV6"/>
    <mergeCell ref="AM3:AU4"/>
    <mergeCell ref="AV3:AV4"/>
    <mergeCell ref="AH1:AW1"/>
    <mergeCell ref="AW3:AW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1:Q1"/>
    <mergeCell ref="R1:AG1"/>
    <mergeCell ref="AD2:AI2"/>
    <mergeCell ref="A3:A4"/>
    <mergeCell ref="B3:B6"/>
    <mergeCell ref="C3:D4"/>
    <mergeCell ref="E3:J4"/>
    <mergeCell ref="J5:J6"/>
    <mergeCell ref="AD3:AG4"/>
    <mergeCell ref="AH3:AH4"/>
    <mergeCell ref="K3:L4"/>
    <mergeCell ref="M3:Q4"/>
    <mergeCell ref="R3:R4"/>
    <mergeCell ref="S3:V4"/>
    <mergeCell ref="AI3:AL4"/>
    <mergeCell ref="C5:C6"/>
    <mergeCell ref="D5:D6"/>
    <mergeCell ref="E5:E6"/>
    <mergeCell ref="F5:F6"/>
    <mergeCell ref="G5:G6"/>
    <mergeCell ref="H5:H6"/>
    <mergeCell ref="I5:I6"/>
    <mergeCell ref="W3:Y4"/>
    <mergeCell ref="Z3:AC4"/>
    <mergeCell ref="K5:K6"/>
    <mergeCell ref="L5:L6"/>
    <mergeCell ref="M5:M6"/>
    <mergeCell ref="N5:N6"/>
    <mergeCell ref="O5:O6"/>
    <mergeCell ref="P5:P6"/>
    <mergeCell ref="Q5:Q6"/>
    <mergeCell ref="S5:S6"/>
    <mergeCell ref="T5:T6"/>
    <mergeCell ref="U5:U6"/>
    <mergeCell ref="V5:V6"/>
    <mergeCell ref="W5:W6"/>
    <mergeCell ref="AE5:AE6"/>
    <mergeCell ref="X5:X6"/>
    <mergeCell ref="Y5:Y6"/>
    <mergeCell ref="Z5:Z6"/>
    <mergeCell ref="AA5:AA6"/>
    <mergeCell ref="A8:AI8"/>
    <mergeCell ref="AK5:AK6"/>
    <mergeCell ref="AL5:AL6"/>
    <mergeCell ref="AF5:AF6"/>
    <mergeCell ref="AG5:AG6"/>
    <mergeCell ref="AI5:AI6"/>
    <mergeCell ref="AJ5:AJ6"/>
    <mergeCell ref="AB5:AB6"/>
    <mergeCell ref="AC5:AC6"/>
    <mergeCell ref="AD5:AD6"/>
  </mergeCells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B1:BE19"/>
  <sheetViews>
    <sheetView tabSelected="1" zoomScalePageLayoutView="0" workbookViewId="0" topLeftCell="A1">
      <selection activeCell="AO13" sqref="AO13"/>
    </sheetView>
  </sheetViews>
  <sheetFormatPr defaultColWidth="9.00390625" defaultRowHeight="14.25"/>
  <cols>
    <col min="1" max="1" width="3.50390625" style="3" customWidth="1"/>
    <col min="2" max="2" width="12.75390625" style="3" customWidth="1"/>
    <col min="3" max="3" width="7.875" style="1" customWidth="1"/>
    <col min="4" max="5" width="7.00390625" style="3" customWidth="1"/>
    <col min="6" max="10" width="6.375" style="3" customWidth="1"/>
    <col min="11" max="13" width="7.00390625" style="3" customWidth="1"/>
    <col min="14" max="15" width="7.625" style="1" customWidth="1"/>
    <col min="16" max="16" width="7.625" style="6" customWidth="1"/>
    <col min="17" max="18" width="7.625" style="7" customWidth="1"/>
    <col min="19" max="19" width="12.25390625" style="7" customWidth="1"/>
    <col min="20" max="20" width="9.125" style="4" customWidth="1"/>
    <col min="21" max="21" width="9.625" style="4" customWidth="1"/>
    <col min="22" max="22" width="7.625" style="4" customWidth="1"/>
    <col min="23" max="23" width="7.625" style="7" customWidth="1"/>
    <col min="24" max="24" width="7.625" style="29" customWidth="1"/>
    <col min="25" max="26" width="7.625" style="4" customWidth="1"/>
    <col min="27" max="27" width="7.625" style="2" customWidth="1"/>
    <col min="28" max="29" width="7.625" style="4" customWidth="1"/>
    <col min="30" max="30" width="7.625" style="8" customWidth="1"/>
    <col min="31" max="31" width="7.625" style="30" customWidth="1"/>
    <col min="32" max="33" width="7.625" style="8" customWidth="1"/>
    <col min="34" max="34" width="7.625" style="4" customWidth="1"/>
    <col min="35" max="35" width="10.25390625" style="4" customWidth="1"/>
    <col min="36" max="36" width="8.25390625" style="30" customWidth="1"/>
    <col min="37" max="37" width="8.25390625" style="4" customWidth="1"/>
    <col min="38" max="39" width="8.25390625" style="8" customWidth="1"/>
    <col min="40" max="50" width="8.25390625" style="3" customWidth="1"/>
    <col min="51" max="16384" width="9.00390625" style="3" customWidth="1"/>
  </cols>
  <sheetData>
    <row r="1" spans="2:57" s="28" customFormat="1" ht="22.5" customHeight="1">
      <c r="B1" s="134" t="s">
        <v>344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6" t="s">
        <v>345</v>
      </c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 t="s">
        <v>346</v>
      </c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27"/>
      <c r="AZ1" s="27"/>
      <c r="BA1" s="27"/>
      <c r="BB1" s="27"/>
      <c r="BC1" s="27"/>
      <c r="BD1" s="27"/>
      <c r="BE1" s="27"/>
    </row>
    <row r="2" spans="2:39" s="4" customFormat="1" ht="15" customHeight="1"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9"/>
      <c r="AE2" s="137"/>
      <c r="AF2" s="137"/>
      <c r="AG2" s="137"/>
      <c r="AH2" s="138"/>
      <c r="AI2" s="138"/>
      <c r="AJ2" s="137"/>
      <c r="AK2" s="9"/>
      <c r="AL2" s="10"/>
      <c r="AM2" s="10"/>
    </row>
    <row r="3" spans="2:50" s="11" customFormat="1" ht="17.25" customHeight="1">
      <c r="B3" s="130" t="s">
        <v>7</v>
      </c>
      <c r="C3" s="139" t="s">
        <v>0</v>
      </c>
      <c r="D3" s="123" t="s">
        <v>2</v>
      </c>
      <c r="E3" s="123"/>
      <c r="F3" s="122" t="s">
        <v>1</v>
      </c>
      <c r="G3" s="123"/>
      <c r="H3" s="123"/>
      <c r="I3" s="123"/>
      <c r="J3" s="123"/>
      <c r="K3" s="128"/>
      <c r="L3" s="123" t="s">
        <v>31</v>
      </c>
      <c r="M3" s="123"/>
      <c r="N3" s="122" t="s">
        <v>36</v>
      </c>
      <c r="O3" s="123"/>
      <c r="P3" s="123"/>
      <c r="Q3" s="123"/>
      <c r="R3" s="128"/>
      <c r="S3" s="130" t="s">
        <v>7</v>
      </c>
      <c r="T3" s="122" t="s">
        <v>3</v>
      </c>
      <c r="U3" s="123"/>
      <c r="V3" s="123"/>
      <c r="W3" s="123"/>
      <c r="X3" s="122" t="s">
        <v>37</v>
      </c>
      <c r="Y3" s="123"/>
      <c r="Z3" s="123"/>
      <c r="AA3" s="122" t="s">
        <v>24</v>
      </c>
      <c r="AB3" s="123"/>
      <c r="AC3" s="123"/>
      <c r="AD3" s="123"/>
      <c r="AE3" s="122" t="s">
        <v>17</v>
      </c>
      <c r="AF3" s="123"/>
      <c r="AG3" s="123"/>
      <c r="AH3" s="128"/>
      <c r="AI3" s="130" t="s">
        <v>7</v>
      </c>
      <c r="AJ3" s="119" t="s">
        <v>23</v>
      </c>
      <c r="AK3" s="120"/>
      <c r="AL3" s="120"/>
      <c r="AM3" s="121"/>
      <c r="AN3" s="123" t="s">
        <v>336</v>
      </c>
      <c r="AO3" s="123"/>
      <c r="AP3" s="123"/>
      <c r="AQ3" s="123"/>
      <c r="AR3" s="123"/>
      <c r="AS3" s="123"/>
      <c r="AT3" s="123"/>
      <c r="AU3" s="123"/>
      <c r="AV3" s="128"/>
      <c r="AW3" s="151" t="s">
        <v>338</v>
      </c>
      <c r="AX3" s="153" t="s">
        <v>48</v>
      </c>
    </row>
    <row r="4" spans="2:50" s="5" customFormat="1" ht="14.25" customHeight="1">
      <c r="B4" s="131"/>
      <c r="C4" s="140"/>
      <c r="D4" s="125"/>
      <c r="E4" s="125"/>
      <c r="F4" s="124"/>
      <c r="G4" s="125"/>
      <c r="H4" s="125"/>
      <c r="I4" s="125"/>
      <c r="J4" s="125"/>
      <c r="K4" s="129"/>
      <c r="L4" s="125"/>
      <c r="M4" s="125"/>
      <c r="N4" s="124"/>
      <c r="O4" s="125"/>
      <c r="P4" s="125"/>
      <c r="Q4" s="125"/>
      <c r="R4" s="129"/>
      <c r="S4" s="131"/>
      <c r="T4" s="124"/>
      <c r="U4" s="125"/>
      <c r="V4" s="125"/>
      <c r="W4" s="125"/>
      <c r="X4" s="124"/>
      <c r="Y4" s="125"/>
      <c r="Z4" s="125"/>
      <c r="AA4" s="124"/>
      <c r="AB4" s="125"/>
      <c r="AC4" s="125"/>
      <c r="AD4" s="125"/>
      <c r="AE4" s="124"/>
      <c r="AF4" s="125"/>
      <c r="AG4" s="125"/>
      <c r="AH4" s="129"/>
      <c r="AI4" s="131"/>
      <c r="AJ4" s="141"/>
      <c r="AK4" s="142"/>
      <c r="AL4" s="142"/>
      <c r="AM4" s="143"/>
      <c r="AN4" s="125"/>
      <c r="AO4" s="125"/>
      <c r="AP4" s="125"/>
      <c r="AQ4" s="125"/>
      <c r="AR4" s="125"/>
      <c r="AS4" s="125"/>
      <c r="AT4" s="125"/>
      <c r="AU4" s="125"/>
      <c r="AV4" s="129"/>
      <c r="AW4" s="152"/>
      <c r="AX4" s="154"/>
    </row>
    <row r="5" spans="2:50" s="5" customFormat="1" ht="26.25" customHeight="1">
      <c r="B5" s="36"/>
      <c r="C5" s="140"/>
      <c r="D5" s="132" t="s">
        <v>30</v>
      </c>
      <c r="E5" s="126" t="s">
        <v>29</v>
      </c>
      <c r="F5" s="144" t="s">
        <v>4</v>
      </c>
      <c r="G5" s="126" t="s">
        <v>35</v>
      </c>
      <c r="H5" s="144" t="s">
        <v>341</v>
      </c>
      <c r="I5" s="126" t="s">
        <v>5</v>
      </c>
      <c r="J5" s="126" t="s">
        <v>6</v>
      </c>
      <c r="K5" s="126" t="s">
        <v>32</v>
      </c>
      <c r="L5" s="126" t="s">
        <v>33</v>
      </c>
      <c r="M5" s="132" t="s">
        <v>34</v>
      </c>
      <c r="N5" s="126" t="s">
        <v>43</v>
      </c>
      <c r="O5" s="126" t="s">
        <v>44</v>
      </c>
      <c r="P5" s="126" t="s">
        <v>40</v>
      </c>
      <c r="Q5" s="126" t="s">
        <v>41</v>
      </c>
      <c r="R5" s="126" t="s">
        <v>42</v>
      </c>
      <c r="S5" s="36"/>
      <c r="T5" s="144" t="s">
        <v>8</v>
      </c>
      <c r="U5" s="144" t="s">
        <v>9</v>
      </c>
      <c r="V5" s="144" t="s">
        <v>10</v>
      </c>
      <c r="W5" s="145" t="s">
        <v>27</v>
      </c>
      <c r="X5" s="126" t="s">
        <v>51</v>
      </c>
      <c r="Y5" s="126" t="s">
        <v>45</v>
      </c>
      <c r="Z5" s="126" t="s">
        <v>46</v>
      </c>
      <c r="AA5" s="126" t="s">
        <v>52</v>
      </c>
      <c r="AB5" s="149" t="s">
        <v>39</v>
      </c>
      <c r="AC5" s="149" t="s">
        <v>11</v>
      </c>
      <c r="AD5" s="147" t="s">
        <v>12</v>
      </c>
      <c r="AE5" s="126" t="s">
        <v>53</v>
      </c>
      <c r="AF5" s="126" t="s">
        <v>39</v>
      </c>
      <c r="AG5" s="126" t="s">
        <v>13</v>
      </c>
      <c r="AH5" s="147" t="s">
        <v>14</v>
      </c>
      <c r="AI5" s="36"/>
      <c r="AJ5" s="149" t="s">
        <v>15</v>
      </c>
      <c r="AK5" s="149" t="s">
        <v>47</v>
      </c>
      <c r="AL5" s="126" t="s">
        <v>38</v>
      </c>
      <c r="AM5" s="126" t="s">
        <v>16</v>
      </c>
      <c r="AN5" s="144" t="s">
        <v>18</v>
      </c>
      <c r="AO5" s="144" t="s">
        <v>19</v>
      </c>
      <c r="AP5" s="144" t="s">
        <v>20</v>
      </c>
      <c r="AQ5" s="126" t="s">
        <v>329</v>
      </c>
      <c r="AR5" s="126" t="s">
        <v>330</v>
      </c>
      <c r="AS5" s="126" t="s">
        <v>331</v>
      </c>
      <c r="AT5" s="126" t="s">
        <v>332</v>
      </c>
      <c r="AU5" s="126" t="s">
        <v>333</v>
      </c>
      <c r="AV5" s="126" t="s">
        <v>334</v>
      </c>
      <c r="AW5" s="144" t="s">
        <v>21</v>
      </c>
      <c r="AX5" s="154"/>
    </row>
    <row r="6" spans="2:50" s="5" customFormat="1" ht="54" customHeight="1">
      <c r="B6" s="37" t="s">
        <v>25</v>
      </c>
      <c r="C6" s="118"/>
      <c r="D6" s="133"/>
      <c r="E6" s="127"/>
      <c r="F6" s="144"/>
      <c r="G6" s="127"/>
      <c r="H6" s="144"/>
      <c r="I6" s="127"/>
      <c r="J6" s="127"/>
      <c r="K6" s="127"/>
      <c r="L6" s="127"/>
      <c r="M6" s="133"/>
      <c r="N6" s="127"/>
      <c r="O6" s="127"/>
      <c r="P6" s="127"/>
      <c r="Q6" s="127"/>
      <c r="R6" s="127"/>
      <c r="S6" s="37" t="s">
        <v>25</v>
      </c>
      <c r="T6" s="144"/>
      <c r="U6" s="144"/>
      <c r="V6" s="144"/>
      <c r="W6" s="146"/>
      <c r="X6" s="127"/>
      <c r="Y6" s="127"/>
      <c r="Z6" s="127"/>
      <c r="AA6" s="127"/>
      <c r="AB6" s="127"/>
      <c r="AC6" s="127"/>
      <c r="AD6" s="148"/>
      <c r="AE6" s="127"/>
      <c r="AF6" s="127"/>
      <c r="AG6" s="127"/>
      <c r="AH6" s="148"/>
      <c r="AI6" s="37" t="s">
        <v>25</v>
      </c>
      <c r="AJ6" s="127"/>
      <c r="AK6" s="127"/>
      <c r="AL6" s="127"/>
      <c r="AM6" s="127"/>
      <c r="AN6" s="144"/>
      <c r="AO6" s="144"/>
      <c r="AP6" s="144"/>
      <c r="AQ6" s="127"/>
      <c r="AR6" s="127"/>
      <c r="AS6" s="127"/>
      <c r="AT6" s="127"/>
      <c r="AU6" s="127"/>
      <c r="AV6" s="127"/>
      <c r="AW6" s="144"/>
      <c r="AX6" s="155"/>
    </row>
    <row r="7" spans="2:50" s="17" customFormat="1" ht="25.5" customHeight="1">
      <c r="B7" s="38" t="s">
        <v>54</v>
      </c>
      <c r="C7" s="18">
        <v>153947</v>
      </c>
      <c r="D7" s="15">
        <f>C7*0.75</f>
        <v>115460.25</v>
      </c>
      <c r="E7" s="15">
        <f>C7*0.75</f>
        <v>115460.25</v>
      </c>
      <c r="F7" s="34">
        <v>12</v>
      </c>
      <c r="G7" s="34">
        <v>6</v>
      </c>
      <c r="H7" s="34">
        <v>18</v>
      </c>
      <c r="I7" s="34">
        <v>27</v>
      </c>
      <c r="J7" s="34">
        <v>36</v>
      </c>
      <c r="K7" s="14">
        <v>0.8</v>
      </c>
      <c r="L7" s="14">
        <v>0.95</v>
      </c>
      <c r="M7" s="14">
        <v>0.9</v>
      </c>
      <c r="N7" s="33">
        <v>8238.95278265642</v>
      </c>
      <c r="O7" s="35">
        <v>1462.3697598792535</v>
      </c>
      <c r="P7" s="15">
        <f>O7*0.9</f>
        <v>1316.1327838913282</v>
      </c>
      <c r="Q7" s="15">
        <f>N7*0.9</f>
        <v>7415.057504390779</v>
      </c>
      <c r="R7" s="15">
        <f>N7*0.85</f>
        <v>7003.109865257958</v>
      </c>
      <c r="S7" s="38" t="s">
        <v>54</v>
      </c>
      <c r="T7" s="15">
        <f>O7*0.95</f>
        <v>1389.2512718852906</v>
      </c>
      <c r="U7" s="15">
        <f>O7*0.9</f>
        <v>1316.1327838913282</v>
      </c>
      <c r="V7" s="15">
        <f>O7*0.95</f>
        <v>1389.2512718852906</v>
      </c>
      <c r="W7" s="15">
        <f>O7*0.85</f>
        <v>1243.0142958973654</v>
      </c>
      <c r="X7" s="15">
        <f>C7*0.0882</f>
        <v>13578.1254</v>
      </c>
      <c r="Y7" s="15">
        <f>X7*0.7</f>
        <v>9504.68778</v>
      </c>
      <c r="Z7" s="15">
        <f>X7*0.7</f>
        <v>9504.68778</v>
      </c>
      <c r="AA7" s="15">
        <f>C7*0.52*0.188</f>
        <v>15049.85872</v>
      </c>
      <c r="AB7" s="15">
        <f>AA7*0.3</f>
        <v>4514.957616</v>
      </c>
      <c r="AC7" s="15">
        <f>AB7*0.35</f>
        <v>1580.2351655999998</v>
      </c>
      <c r="AD7" s="12">
        <f>AB7*0.3</f>
        <v>1354.4872847999998</v>
      </c>
      <c r="AE7" s="15">
        <f>C7*0.52*0.097</f>
        <v>7765.08668</v>
      </c>
      <c r="AF7" s="15">
        <f>AE7*0.25</f>
        <v>1941.27167</v>
      </c>
      <c r="AG7" s="12">
        <f>AF7*0.3</f>
        <v>582.381501</v>
      </c>
      <c r="AH7" s="12">
        <f>AF7*0.2</f>
        <v>388.25433400000003</v>
      </c>
      <c r="AI7" s="38" t="s">
        <v>54</v>
      </c>
      <c r="AJ7" s="12">
        <f>C7*0.8*0.01</f>
        <v>1231.576</v>
      </c>
      <c r="AK7" s="12">
        <f>AJ7*0.2</f>
        <v>246.3152</v>
      </c>
      <c r="AL7" s="12">
        <f>AJ7*0.2</f>
        <v>246.3152</v>
      </c>
      <c r="AM7" s="12">
        <f>AL7*0.6</f>
        <v>147.78912</v>
      </c>
      <c r="AN7" s="16">
        <v>1</v>
      </c>
      <c r="AO7" s="16">
        <v>0.95</v>
      </c>
      <c r="AP7" s="16">
        <v>1</v>
      </c>
      <c r="AQ7" s="16">
        <v>1</v>
      </c>
      <c r="AR7" s="16">
        <v>0.95</v>
      </c>
      <c r="AS7" s="16">
        <v>1</v>
      </c>
      <c r="AT7" s="16">
        <v>0.8</v>
      </c>
      <c r="AU7" s="16">
        <v>0.85</v>
      </c>
      <c r="AV7" s="16">
        <v>0.85</v>
      </c>
      <c r="AW7" s="16">
        <v>0.95</v>
      </c>
      <c r="AX7" s="16">
        <v>0.8</v>
      </c>
    </row>
    <row r="8" spans="2:50" s="17" customFormat="1" ht="25.5" customHeight="1">
      <c r="B8" s="38" t="s">
        <v>55</v>
      </c>
      <c r="C8" s="101">
        <v>33500</v>
      </c>
      <c r="D8" s="15">
        <f aca="true" t="shared" si="0" ref="D8:D15">C8*0.75</f>
        <v>25125</v>
      </c>
      <c r="E8" s="15">
        <f aca="true" t="shared" si="1" ref="E8:E15">C8*0.75</f>
        <v>25125</v>
      </c>
      <c r="F8" s="34">
        <v>12</v>
      </c>
      <c r="G8" s="34">
        <v>6</v>
      </c>
      <c r="H8" s="13">
        <v>12</v>
      </c>
      <c r="I8" s="13">
        <v>18</v>
      </c>
      <c r="J8" s="13">
        <v>24</v>
      </c>
      <c r="K8" s="14">
        <v>0.8</v>
      </c>
      <c r="L8" s="14">
        <v>0.95</v>
      </c>
      <c r="M8" s="14">
        <v>0.9</v>
      </c>
      <c r="N8" s="33">
        <v>1299.219203649938</v>
      </c>
      <c r="O8" s="33">
        <v>186.74408958938199</v>
      </c>
      <c r="P8" s="15">
        <f aca="true" t="shared" si="2" ref="P8:P15">O8*0.9</f>
        <v>168.0696806304438</v>
      </c>
      <c r="Q8" s="15">
        <f aca="true" t="shared" si="3" ref="Q8:Q15">N8*0.9</f>
        <v>1169.2972832849441</v>
      </c>
      <c r="R8" s="15">
        <f aca="true" t="shared" si="4" ref="R8:R15">N8*0.85</f>
        <v>1104.3363231024473</v>
      </c>
      <c r="S8" s="38" t="s">
        <v>55</v>
      </c>
      <c r="T8" s="15">
        <f aca="true" t="shared" si="5" ref="T8:T15">O8*0.95</f>
        <v>177.40688510991288</v>
      </c>
      <c r="U8" s="15">
        <f aca="true" t="shared" si="6" ref="U8:U15">O8*0.9</f>
        <v>168.0696806304438</v>
      </c>
      <c r="V8" s="15">
        <f aca="true" t="shared" si="7" ref="V8:V15">O8*0.95</f>
        <v>177.40688510991288</v>
      </c>
      <c r="W8" s="15">
        <f aca="true" t="shared" si="8" ref="W8:W15">O8*0.85</f>
        <v>158.7324761509747</v>
      </c>
      <c r="X8" s="15">
        <f aca="true" t="shared" si="9" ref="X8:X15">C8*0.0882</f>
        <v>2954.7</v>
      </c>
      <c r="Y8" s="15">
        <f aca="true" t="shared" si="10" ref="Y8:Y15">X8*0.7</f>
        <v>2068.29</v>
      </c>
      <c r="Z8" s="15">
        <f aca="true" t="shared" si="11" ref="Z8:Z15">X8*0.7</f>
        <v>2068.29</v>
      </c>
      <c r="AA8" s="15">
        <f aca="true" t="shared" si="12" ref="AA8:AA15">C8*0.52*0.188</f>
        <v>3274.96</v>
      </c>
      <c r="AB8" s="15">
        <f aca="true" t="shared" si="13" ref="AB8:AB15">AA8*0.3</f>
        <v>982.4879999999999</v>
      </c>
      <c r="AC8" s="15">
        <f aca="true" t="shared" si="14" ref="AC8:AC15">AB8*0.35</f>
        <v>343.8708</v>
      </c>
      <c r="AD8" s="12">
        <f aca="true" t="shared" si="15" ref="AD8:AD15">AB8*0.3</f>
        <v>294.7464</v>
      </c>
      <c r="AE8" s="15">
        <f aca="true" t="shared" si="16" ref="AE8:AE15">C8*0.52*0.097</f>
        <v>1689.74</v>
      </c>
      <c r="AF8" s="15">
        <f aca="true" t="shared" si="17" ref="AF8:AF15">AE8*0.25</f>
        <v>422.435</v>
      </c>
      <c r="AG8" s="12">
        <f aca="true" t="shared" si="18" ref="AG8:AG15">AF8*0.3</f>
        <v>126.73049999999999</v>
      </c>
      <c r="AH8" s="12">
        <f aca="true" t="shared" si="19" ref="AH8:AH15">AF8*0.2</f>
        <v>84.48700000000001</v>
      </c>
      <c r="AI8" s="38" t="s">
        <v>314</v>
      </c>
      <c r="AJ8" s="12">
        <f aca="true" t="shared" si="20" ref="AJ8:AJ15">C8*0.8*0.01</f>
        <v>268</v>
      </c>
      <c r="AK8" s="12">
        <f aca="true" t="shared" si="21" ref="AK8:AK15">AJ8*0.2</f>
        <v>53.6</v>
      </c>
      <c r="AL8" s="12">
        <f aca="true" t="shared" si="22" ref="AL8:AL15">AJ8*0.2</f>
        <v>53.6</v>
      </c>
      <c r="AM8" s="12">
        <f aca="true" t="shared" si="23" ref="AM8:AM15">AL8*0.6</f>
        <v>32.16</v>
      </c>
      <c r="AN8" s="49">
        <v>1</v>
      </c>
      <c r="AO8" s="16">
        <v>0.95</v>
      </c>
      <c r="AP8" s="49">
        <v>1</v>
      </c>
      <c r="AQ8" s="16">
        <v>1</v>
      </c>
      <c r="AR8" s="16">
        <v>0.95</v>
      </c>
      <c r="AS8" s="16">
        <v>1</v>
      </c>
      <c r="AT8" s="16">
        <v>0.8</v>
      </c>
      <c r="AU8" s="16">
        <v>0.85</v>
      </c>
      <c r="AV8" s="16">
        <v>0.85</v>
      </c>
      <c r="AW8" s="49">
        <v>0.95</v>
      </c>
      <c r="AX8" s="49">
        <v>0.8</v>
      </c>
    </row>
    <row r="9" spans="2:50" s="17" customFormat="1" ht="25.5" customHeight="1">
      <c r="B9" s="38" t="s">
        <v>56</v>
      </c>
      <c r="C9" s="102">
        <v>68000</v>
      </c>
      <c r="D9" s="15">
        <f t="shared" si="0"/>
        <v>51000</v>
      </c>
      <c r="E9" s="15">
        <f t="shared" si="1"/>
        <v>51000</v>
      </c>
      <c r="F9" s="34">
        <v>12</v>
      </c>
      <c r="G9" s="34">
        <v>6</v>
      </c>
      <c r="H9" s="13">
        <v>18</v>
      </c>
      <c r="I9" s="13">
        <v>27</v>
      </c>
      <c r="J9" s="13">
        <v>36</v>
      </c>
      <c r="K9" s="14">
        <v>0.8</v>
      </c>
      <c r="L9" s="14">
        <v>0.95</v>
      </c>
      <c r="M9" s="14">
        <v>0.9</v>
      </c>
      <c r="N9" s="33">
        <v>3738.9395711500974</v>
      </c>
      <c r="O9" s="33">
        <v>580.4522417153996</v>
      </c>
      <c r="P9" s="15">
        <f t="shared" si="2"/>
        <v>522.4070175438596</v>
      </c>
      <c r="Q9" s="15">
        <f t="shared" si="3"/>
        <v>3365.045614035088</v>
      </c>
      <c r="R9" s="15">
        <f t="shared" si="4"/>
        <v>3178.098635477583</v>
      </c>
      <c r="S9" s="38" t="s">
        <v>56</v>
      </c>
      <c r="T9" s="15">
        <f t="shared" si="5"/>
        <v>551.4296296296296</v>
      </c>
      <c r="U9" s="15">
        <f t="shared" si="6"/>
        <v>522.4070175438596</v>
      </c>
      <c r="V9" s="15">
        <f t="shared" si="7"/>
        <v>551.4296296296296</v>
      </c>
      <c r="W9" s="15">
        <f t="shared" si="8"/>
        <v>493.38440545808965</v>
      </c>
      <c r="X9" s="15">
        <f t="shared" si="9"/>
        <v>5997.6</v>
      </c>
      <c r="Y9" s="15">
        <f t="shared" si="10"/>
        <v>4198.32</v>
      </c>
      <c r="Z9" s="15">
        <f t="shared" si="11"/>
        <v>4198.32</v>
      </c>
      <c r="AA9" s="15">
        <f t="shared" si="12"/>
        <v>6647.68</v>
      </c>
      <c r="AB9" s="15">
        <f t="shared" si="13"/>
        <v>1994.304</v>
      </c>
      <c r="AC9" s="15">
        <f t="shared" si="14"/>
        <v>698.0064</v>
      </c>
      <c r="AD9" s="12">
        <f t="shared" si="15"/>
        <v>598.2912</v>
      </c>
      <c r="AE9" s="15">
        <f t="shared" si="16"/>
        <v>3429.92</v>
      </c>
      <c r="AF9" s="15">
        <f t="shared" si="17"/>
        <v>857.48</v>
      </c>
      <c r="AG9" s="12">
        <f t="shared" si="18"/>
        <v>257.24399999999997</v>
      </c>
      <c r="AH9" s="12">
        <f t="shared" si="19"/>
        <v>171.496</v>
      </c>
      <c r="AI9" s="38" t="s">
        <v>315</v>
      </c>
      <c r="AJ9" s="12">
        <f t="shared" si="20"/>
        <v>544</v>
      </c>
      <c r="AK9" s="12">
        <f t="shared" si="21"/>
        <v>108.80000000000001</v>
      </c>
      <c r="AL9" s="12">
        <f t="shared" si="22"/>
        <v>108.80000000000001</v>
      </c>
      <c r="AM9" s="12">
        <f t="shared" si="23"/>
        <v>65.28</v>
      </c>
      <c r="AN9" s="49">
        <v>1</v>
      </c>
      <c r="AO9" s="16">
        <v>0.95</v>
      </c>
      <c r="AP9" s="49">
        <v>1</v>
      </c>
      <c r="AQ9" s="16">
        <v>1</v>
      </c>
      <c r="AR9" s="16">
        <v>0.95</v>
      </c>
      <c r="AS9" s="16">
        <v>1</v>
      </c>
      <c r="AT9" s="16">
        <v>0.8</v>
      </c>
      <c r="AU9" s="16">
        <v>0.85</v>
      </c>
      <c r="AV9" s="16">
        <v>0.85</v>
      </c>
      <c r="AW9" s="49">
        <v>0.95</v>
      </c>
      <c r="AX9" s="49">
        <v>0.8</v>
      </c>
    </row>
    <row r="10" spans="2:50" s="17" customFormat="1" ht="25.5" customHeight="1">
      <c r="B10" s="38" t="s">
        <v>57</v>
      </c>
      <c r="C10" s="102">
        <v>68787</v>
      </c>
      <c r="D10" s="15">
        <f t="shared" si="0"/>
        <v>51590.25</v>
      </c>
      <c r="E10" s="15">
        <f t="shared" si="1"/>
        <v>51590.25</v>
      </c>
      <c r="F10" s="34">
        <v>12</v>
      </c>
      <c r="G10" s="34">
        <v>6</v>
      </c>
      <c r="H10" s="34">
        <v>30</v>
      </c>
      <c r="I10" s="34">
        <v>45</v>
      </c>
      <c r="J10" s="34">
        <v>60</v>
      </c>
      <c r="K10" s="14">
        <v>0.8</v>
      </c>
      <c r="L10" s="14">
        <v>0.95</v>
      </c>
      <c r="M10" s="14">
        <v>0.9</v>
      </c>
      <c r="N10" s="33">
        <v>3076.540518292683</v>
      </c>
      <c r="O10" s="33">
        <v>325.0605182926829</v>
      </c>
      <c r="P10" s="15">
        <f t="shared" si="2"/>
        <v>292.5544664634146</v>
      </c>
      <c r="Q10" s="15">
        <f t="shared" si="3"/>
        <v>2768.8864664634148</v>
      </c>
      <c r="R10" s="15">
        <f t="shared" si="4"/>
        <v>2615.0594405487805</v>
      </c>
      <c r="S10" s="38" t="s">
        <v>57</v>
      </c>
      <c r="T10" s="15">
        <f t="shared" si="5"/>
        <v>308.8074923780487</v>
      </c>
      <c r="U10" s="15">
        <f t="shared" si="6"/>
        <v>292.5544664634146</v>
      </c>
      <c r="V10" s="15">
        <f t="shared" si="7"/>
        <v>308.8074923780487</v>
      </c>
      <c r="W10" s="15">
        <f t="shared" si="8"/>
        <v>276.3014405487805</v>
      </c>
      <c r="X10" s="15">
        <f t="shared" si="9"/>
        <v>6067.0134</v>
      </c>
      <c r="Y10" s="15">
        <f t="shared" si="10"/>
        <v>4246.90938</v>
      </c>
      <c r="Z10" s="15">
        <f t="shared" si="11"/>
        <v>4246.90938</v>
      </c>
      <c r="AA10" s="15">
        <f t="shared" si="12"/>
        <v>6724.61712</v>
      </c>
      <c r="AB10" s="15">
        <f t="shared" si="13"/>
        <v>2017.3851359999999</v>
      </c>
      <c r="AC10" s="15">
        <f t="shared" si="14"/>
        <v>706.0847975999999</v>
      </c>
      <c r="AD10" s="12">
        <f t="shared" si="15"/>
        <v>605.2155408</v>
      </c>
      <c r="AE10" s="15">
        <f t="shared" si="16"/>
        <v>3469.6162799999997</v>
      </c>
      <c r="AF10" s="15">
        <f t="shared" si="17"/>
        <v>867.4040699999999</v>
      </c>
      <c r="AG10" s="12">
        <f t="shared" si="18"/>
        <v>260.22122099999996</v>
      </c>
      <c r="AH10" s="12">
        <f t="shared" si="19"/>
        <v>173.480814</v>
      </c>
      <c r="AI10" s="38" t="s">
        <v>316</v>
      </c>
      <c r="AJ10" s="12">
        <f t="shared" si="20"/>
        <v>550.296</v>
      </c>
      <c r="AK10" s="12">
        <f t="shared" si="21"/>
        <v>110.05920000000002</v>
      </c>
      <c r="AL10" s="12">
        <f t="shared" si="22"/>
        <v>110.05920000000002</v>
      </c>
      <c r="AM10" s="12">
        <f t="shared" si="23"/>
        <v>66.03552</v>
      </c>
      <c r="AN10" s="49">
        <v>1</v>
      </c>
      <c r="AO10" s="16">
        <v>0.95</v>
      </c>
      <c r="AP10" s="49">
        <v>1</v>
      </c>
      <c r="AQ10" s="16">
        <v>1</v>
      </c>
      <c r="AR10" s="16">
        <v>0.95</v>
      </c>
      <c r="AS10" s="16">
        <v>1</v>
      </c>
      <c r="AT10" s="16">
        <v>0.8</v>
      </c>
      <c r="AU10" s="16">
        <v>0.85</v>
      </c>
      <c r="AV10" s="16">
        <v>0.85</v>
      </c>
      <c r="AW10" s="49">
        <v>0.95</v>
      </c>
      <c r="AX10" s="49">
        <v>0.8</v>
      </c>
    </row>
    <row r="11" spans="2:50" s="17" customFormat="1" ht="25.5" customHeight="1">
      <c r="B11" s="39" t="s">
        <v>58</v>
      </c>
      <c r="C11" s="102">
        <v>12000</v>
      </c>
      <c r="D11" s="15">
        <f t="shared" si="0"/>
        <v>9000</v>
      </c>
      <c r="E11" s="15">
        <f t="shared" si="1"/>
        <v>9000</v>
      </c>
      <c r="F11" s="34">
        <v>12</v>
      </c>
      <c r="G11" s="34">
        <v>6</v>
      </c>
      <c r="H11" s="13">
        <v>12</v>
      </c>
      <c r="I11" s="13">
        <v>18</v>
      </c>
      <c r="J11" s="13">
        <v>24</v>
      </c>
      <c r="K11" s="14">
        <v>0.8</v>
      </c>
      <c r="L11" s="14">
        <v>0.95</v>
      </c>
      <c r="M11" s="14">
        <v>0.9</v>
      </c>
      <c r="N11" s="33">
        <v>114.63687150837988</v>
      </c>
      <c r="O11" s="33">
        <v>27.48603351955307</v>
      </c>
      <c r="P11" s="15">
        <f t="shared" si="2"/>
        <v>24.737430167597765</v>
      </c>
      <c r="Q11" s="15">
        <f t="shared" si="3"/>
        <v>103.1731843575419</v>
      </c>
      <c r="R11" s="15">
        <f t="shared" si="4"/>
        <v>97.4413407821229</v>
      </c>
      <c r="S11" s="39" t="s">
        <v>58</v>
      </c>
      <c r="T11" s="15">
        <f t="shared" si="5"/>
        <v>26.111731843575416</v>
      </c>
      <c r="U11" s="15">
        <f t="shared" si="6"/>
        <v>24.737430167597765</v>
      </c>
      <c r="V11" s="15">
        <f t="shared" si="7"/>
        <v>26.111731843575416</v>
      </c>
      <c r="W11" s="15">
        <f t="shared" si="8"/>
        <v>23.36312849162011</v>
      </c>
      <c r="X11" s="15">
        <f t="shared" si="9"/>
        <v>1058.4</v>
      </c>
      <c r="Y11" s="15">
        <f t="shared" si="10"/>
        <v>740.88</v>
      </c>
      <c r="Z11" s="15">
        <f t="shared" si="11"/>
        <v>740.88</v>
      </c>
      <c r="AA11" s="15">
        <f t="shared" si="12"/>
        <v>1173.12</v>
      </c>
      <c r="AB11" s="15">
        <f t="shared" si="13"/>
        <v>351.936</v>
      </c>
      <c r="AC11" s="15">
        <f t="shared" si="14"/>
        <v>123.17759999999998</v>
      </c>
      <c r="AD11" s="12">
        <f t="shared" si="15"/>
        <v>105.5808</v>
      </c>
      <c r="AE11" s="15">
        <f t="shared" si="16"/>
        <v>605.28</v>
      </c>
      <c r="AF11" s="15">
        <f t="shared" si="17"/>
        <v>151.32</v>
      </c>
      <c r="AG11" s="12">
        <f t="shared" si="18"/>
        <v>45.395999999999994</v>
      </c>
      <c r="AH11" s="12">
        <f t="shared" si="19"/>
        <v>30.264</v>
      </c>
      <c r="AI11" s="39" t="s">
        <v>317</v>
      </c>
      <c r="AJ11" s="12">
        <f t="shared" si="20"/>
        <v>96</v>
      </c>
      <c r="AK11" s="12">
        <f t="shared" si="21"/>
        <v>19.200000000000003</v>
      </c>
      <c r="AL11" s="12">
        <f t="shared" si="22"/>
        <v>19.200000000000003</v>
      </c>
      <c r="AM11" s="12">
        <f t="shared" si="23"/>
        <v>11.520000000000001</v>
      </c>
      <c r="AN11" s="49">
        <v>1</v>
      </c>
      <c r="AO11" s="16">
        <v>0.95</v>
      </c>
      <c r="AP11" s="49">
        <v>1</v>
      </c>
      <c r="AQ11" s="16">
        <v>1</v>
      </c>
      <c r="AR11" s="16">
        <v>0.95</v>
      </c>
      <c r="AS11" s="16">
        <v>1</v>
      </c>
      <c r="AT11" s="16">
        <v>0.8</v>
      </c>
      <c r="AU11" s="16">
        <v>0.85</v>
      </c>
      <c r="AV11" s="16">
        <v>0.85</v>
      </c>
      <c r="AW11" s="49">
        <v>0.95</v>
      </c>
      <c r="AX11" s="49">
        <v>0.8</v>
      </c>
    </row>
    <row r="12" spans="2:50" s="17" customFormat="1" ht="25.5" customHeight="1">
      <c r="B12" s="39" t="s">
        <v>59</v>
      </c>
      <c r="C12" s="102">
        <v>196300</v>
      </c>
      <c r="D12" s="15">
        <f t="shared" si="0"/>
        <v>147225</v>
      </c>
      <c r="E12" s="15">
        <f t="shared" si="1"/>
        <v>147225</v>
      </c>
      <c r="F12" s="34">
        <v>12</v>
      </c>
      <c r="G12" s="34">
        <v>6</v>
      </c>
      <c r="H12" s="13">
        <v>120</v>
      </c>
      <c r="I12" s="13">
        <v>180</v>
      </c>
      <c r="J12" s="13">
        <v>240</v>
      </c>
      <c r="K12" s="14">
        <v>0.8</v>
      </c>
      <c r="L12" s="14">
        <v>0.95</v>
      </c>
      <c r="M12" s="14">
        <v>0.9</v>
      </c>
      <c r="N12" s="33">
        <v>11851.834358047015</v>
      </c>
      <c r="O12" s="33">
        <v>1909.044122965642</v>
      </c>
      <c r="P12" s="15">
        <f t="shared" si="2"/>
        <v>1718.1397106690777</v>
      </c>
      <c r="Q12" s="15">
        <f t="shared" si="3"/>
        <v>10666.650922242314</v>
      </c>
      <c r="R12" s="15">
        <f t="shared" si="4"/>
        <v>10074.059204339963</v>
      </c>
      <c r="S12" s="39" t="s">
        <v>59</v>
      </c>
      <c r="T12" s="15">
        <f t="shared" si="5"/>
        <v>1813.5919168173598</v>
      </c>
      <c r="U12" s="15">
        <f t="shared" si="6"/>
        <v>1718.1397106690777</v>
      </c>
      <c r="V12" s="15">
        <f t="shared" si="7"/>
        <v>1813.5919168173598</v>
      </c>
      <c r="W12" s="15">
        <f t="shared" si="8"/>
        <v>1622.6875045207955</v>
      </c>
      <c r="X12" s="15">
        <f t="shared" si="9"/>
        <v>17313.66</v>
      </c>
      <c r="Y12" s="15">
        <f t="shared" si="10"/>
        <v>12119.562</v>
      </c>
      <c r="Z12" s="15">
        <f t="shared" si="11"/>
        <v>12119.562</v>
      </c>
      <c r="AA12" s="15">
        <f t="shared" si="12"/>
        <v>19190.288</v>
      </c>
      <c r="AB12" s="15">
        <f t="shared" si="13"/>
        <v>5757.0864</v>
      </c>
      <c r="AC12" s="15">
        <f t="shared" si="14"/>
        <v>2014.9802399999999</v>
      </c>
      <c r="AD12" s="12">
        <f t="shared" si="15"/>
        <v>1727.12592</v>
      </c>
      <c r="AE12" s="15">
        <f t="shared" si="16"/>
        <v>9901.372</v>
      </c>
      <c r="AF12" s="15">
        <f t="shared" si="17"/>
        <v>2475.343</v>
      </c>
      <c r="AG12" s="12">
        <f t="shared" si="18"/>
        <v>742.6029</v>
      </c>
      <c r="AH12" s="12">
        <f t="shared" si="19"/>
        <v>495.0686</v>
      </c>
      <c r="AI12" s="39" t="s">
        <v>318</v>
      </c>
      <c r="AJ12" s="12">
        <f t="shared" si="20"/>
        <v>1570.4</v>
      </c>
      <c r="AK12" s="12">
        <f t="shared" si="21"/>
        <v>314.08000000000004</v>
      </c>
      <c r="AL12" s="12">
        <f t="shared" si="22"/>
        <v>314.08000000000004</v>
      </c>
      <c r="AM12" s="12">
        <f t="shared" si="23"/>
        <v>188.448</v>
      </c>
      <c r="AN12" s="49">
        <v>1</v>
      </c>
      <c r="AO12" s="16">
        <v>0.95</v>
      </c>
      <c r="AP12" s="49">
        <v>1</v>
      </c>
      <c r="AQ12" s="16">
        <v>1</v>
      </c>
      <c r="AR12" s="16">
        <v>0.95</v>
      </c>
      <c r="AS12" s="16">
        <v>1</v>
      </c>
      <c r="AT12" s="16">
        <v>0.8</v>
      </c>
      <c r="AU12" s="16">
        <v>0.85</v>
      </c>
      <c r="AV12" s="16">
        <v>0.85</v>
      </c>
      <c r="AW12" s="49">
        <v>0.95</v>
      </c>
      <c r="AX12" s="49">
        <v>0.8</v>
      </c>
    </row>
    <row r="13" spans="2:50" s="17" customFormat="1" ht="25.5" customHeight="1">
      <c r="B13" s="39" t="s">
        <v>60</v>
      </c>
      <c r="C13" s="102">
        <v>73993</v>
      </c>
      <c r="D13" s="15">
        <f t="shared" si="0"/>
        <v>55494.75</v>
      </c>
      <c r="E13" s="15">
        <f t="shared" si="1"/>
        <v>55494.75</v>
      </c>
      <c r="F13" s="34">
        <v>12</v>
      </c>
      <c r="G13" s="34">
        <v>6</v>
      </c>
      <c r="H13" s="13">
        <v>126</v>
      </c>
      <c r="I13" s="13">
        <v>189</v>
      </c>
      <c r="J13" s="13">
        <v>252</v>
      </c>
      <c r="K13" s="14">
        <v>0.8</v>
      </c>
      <c r="L13" s="14">
        <v>0.95</v>
      </c>
      <c r="M13" s="14">
        <v>0.9</v>
      </c>
      <c r="N13" s="33">
        <v>3373.060206896552</v>
      </c>
      <c r="O13" s="33">
        <v>379.0774384236453</v>
      </c>
      <c r="P13" s="15">
        <f t="shared" si="2"/>
        <v>341.16969458128074</v>
      </c>
      <c r="Q13" s="15">
        <f t="shared" si="3"/>
        <v>3035.7541862068965</v>
      </c>
      <c r="R13" s="15">
        <f t="shared" si="4"/>
        <v>2867.101175862069</v>
      </c>
      <c r="S13" s="39" t="s">
        <v>60</v>
      </c>
      <c r="T13" s="15">
        <f t="shared" si="5"/>
        <v>360.123566502463</v>
      </c>
      <c r="U13" s="15">
        <f t="shared" si="6"/>
        <v>341.16969458128074</v>
      </c>
      <c r="V13" s="15">
        <f t="shared" si="7"/>
        <v>360.123566502463</v>
      </c>
      <c r="W13" s="15">
        <f t="shared" si="8"/>
        <v>322.21582266009847</v>
      </c>
      <c r="X13" s="15">
        <f t="shared" si="9"/>
        <v>6526.1826</v>
      </c>
      <c r="Y13" s="15">
        <f t="shared" si="10"/>
        <v>4568.3278199999995</v>
      </c>
      <c r="Z13" s="15">
        <f t="shared" si="11"/>
        <v>4568.3278199999995</v>
      </c>
      <c r="AA13" s="15">
        <f t="shared" si="12"/>
        <v>7233.55568</v>
      </c>
      <c r="AB13" s="15">
        <f t="shared" si="13"/>
        <v>2170.066704</v>
      </c>
      <c r="AC13" s="15">
        <f t="shared" si="14"/>
        <v>759.5233463999999</v>
      </c>
      <c r="AD13" s="12">
        <f t="shared" si="15"/>
        <v>651.0200111999999</v>
      </c>
      <c r="AE13" s="15">
        <f t="shared" si="16"/>
        <v>3732.20692</v>
      </c>
      <c r="AF13" s="15">
        <f t="shared" si="17"/>
        <v>933.05173</v>
      </c>
      <c r="AG13" s="12">
        <f t="shared" si="18"/>
        <v>279.915519</v>
      </c>
      <c r="AH13" s="12">
        <f t="shared" si="19"/>
        <v>186.61034600000002</v>
      </c>
      <c r="AI13" s="39" t="s">
        <v>319</v>
      </c>
      <c r="AJ13" s="12">
        <f t="shared" si="20"/>
        <v>591.9440000000001</v>
      </c>
      <c r="AK13" s="12">
        <f t="shared" si="21"/>
        <v>118.38880000000002</v>
      </c>
      <c r="AL13" s="12">
        <f t="shared" si="22"/>
        <v>118.38880000000002</v>
      </c>
      <c r="AM13" s="12">
        <f t="shared" si="23"/>
        <v>71.03328</v>
      </c>
      <c r="AN13" s="49">
        <v>1</v>
      </c>
      <c r="AO13" s="16">
        <v>0.95</v>
      </c>
      <c r="AP13" s="49">
        <v>1</v>
      </c>
      <c r="AQ13" s="16">
        <v>1</v>
      </c>
      <c r="AR13" s="16">
        <v>0.95</v>
      </c>
      <c r="AS13" s="16">
        <v>1</v>
      </c>
      <c r="AT13" s="16">
        <v>0.8</v>
      </c>
      <c r="AU13" s="16">
        <v>0.85</v>
      </c>
      <c r="AV13" s="16">
        <v>0.85</v>
      </c>
      <c r="AW13" s="49">
        <v>0.95</v>
      </c>
      <c r="AX13" s="49">
        <v>0.8</v>
      </c>
    </row>
    <row r="14" spans="2:50" s="17" customFormat="1" ht="25.5" customHeight="1">
      <c r="B14" s="39" t="s">
        <v>61</v>
      </c>
      <c r="C14" s="102">
        <v>128162</v>
      </c>
      <c r="D14" s="15">
        <f t="shared" si="0"/>
        <v>96121.5</v>
      </c>
      <c r="E14" s="15">
        <f t="shared" si="1"/>
        <v>96121.5</v>
      </c>
      <c r="F14" s="34">
        <v>12</v>
      </c>
      <c r="G14" s="34">
        <v>6</v>
      </c>
      <c r="H14" s="13">
        <v>72</v>
      </c>
      <c r="I14" s="13">
        <v>108</v>
      </c>
      <c r="J14" s="13">
        <v>144</v>
      </c>
      <c r="K14" s="14">
        <v>0.8</v>
      </c>
      <c r="L14" s="14">
        <v>0.95</v>
      </c>
      <c r="M14" s="14">
        <v>0.9</v>
      </c>
      <c r="N14" s="33">
        <v>3228</v>
      </c>
      <c r="O14" s="35">
        <v>571</v>
      </c>
      <c r="P14" s="15">
        <f t="shared" si="2"/>
        <v>513.9</v>
      </c>
      <c r="Q14" s="15">
        <f t="shared" si="3"/>
        <v>2905.2000000000003</v>
      </c>
      <c r="R14" s="15">
        <f t="shared" si="4"/>
        <v>2743.7999999999997</v>
      </c>
      <c r="S14" s="39" t="s">
        <v>61</v>
      </c>
      <c r="T14" s="15">
        <f t="shared" si="5"/>
        <v>542.4499999999999</v>
      </c>
      <c r="U14" s="15">
        <f t="shared" si="6"/>
        <v>513.9</v>
      </c>
      <c r="V14" s="15">
        <f t="shared" si="7"/>
        <v>542.4499999999999</v>
      </c>
      <c r="W14" s="15">
        <f t="shared" si="8"/>
        <v>485.34999999999997</v>
      </c>
      <c r="X14" s="15">
        <f t="shared" si="9"/>
        <v>11303.8884</v>
      </c>
      <c r="Y14" s="15">
        <f t="shared" si="10"/>
        <v>7912.721879999999</v>
      </c>
      <c r="Z14" s="15">
        <f t="shared" si="11"/>
        <v>7912.721879999999</v>
      </c>
      <c r="AA14" s="15">
        <f t="shared" si="12"/>
        <v>12529.11712</v>
      </c>
      <c r="AB14" s="15">
        <f t="shared" si="13"/>
        <v>3758.7351360000002</v>
      </c>
      <c r="AC14" s="15">
        <f t="shared" si="14"/>
        <v>1315.5572976</v>
      </c>
      <c r="AD14" s="12">
        <f t="shared" si="15"/>
        <v>1127.6205408</v>
      </c>
      <c r="AE14" s="15">
        <f t="shared" si="16"/>
        <v>6464.491280000001</v>
      </c>
      <c r="AF14" s="15">
        <f t="shared" si="17"/>
        <v>1616.1228200000003</v>
      </c>
      <c r="AG14" s="12">
        <f t="shared" si="18"/>
        <v>484.83684600000004</v>
      </c>
      <c r="AH14" s="12">
        <f t="shared" si="19"/>
        <v>323.2245640000001</v>
      </c>
      <c r="AI14" s="39" t="s">
        <v>320</v>
      </c>
      <c r="AJ14" s="12">
        <f t="shared" si="20"/>
        <v>1025.296</v>
      </c>
      <c r="AK14" s="12">
        <f t="shared" si="21"/>
        <v>205.05920000000003</v>
      </c>
      <c r="AL14" s="12">
        <f t="shared" si="22"/>
        <v>205.05920000000003</v>
      </c>
      <c r="AM14" s="12">
        <f t="shared" si="23"/>
        <v>123.03552000000002</v>
      </c>
      <c r="AN14" s="49">
        <v>1</v>
      </c>
      <c r="AO14" s="16">
        <v>0.95</v>
      </c>
      <c r="AP14" s="49">
        <v>1</v>
      </c>
      <c r="AQ14" s="16">
        <v>1</v>
      </c>
      <c r="AR14" s="16">
        <v>0.95</v>
      </c>
      <c r="AS14" s="16">
        <v>1</v>
      </c>
      <c r="AT14" s="16">
        <v>0.8</v>
      </c>
      <c r="AU14" s="16">
        <v>0.85</v>
      </c>
      <c r="AV14" s="16">
        <v>0.85</v>
      </c>
      <c r="AW14" s="49">
        <v>0.95</v>
      </c>
      <c r="AX14" s="49">
        <v>0.8</v>
      </c>
    </row>
    <row r="15" spans="2:50" s="17" customFormat="1" ht="25.5" customHeight="1">
      <c r="B15" s="39" t="s">
        <v>62</v>
      </c>
      <c r="C15" s="102">
        <v>36700</v>
      </c>
      <c r="D15" s="15">
        <f t="shared" si="0"/>
        <v>27525</v>
      </c>
      <c r="E15" s="15">
        <f t="shared" si="1"/>
        <v>27525</v>
      </c>
      <c r="F15" s="34">
        <v>12</v>
      </c>
      <c r="G15" s="34">
        <v>6</v>
      </c>
      <c r="H15" s="13">
        <v>6</v>
      </c>
      <c r="I15" s="13">
        <v>9</v>
      </c>
      <c r="J15" s="13">
        <v>12</v>
      </c>
      <c r="K15" s="14">
        <v>0.8</v>
      </c>
      <c r="L15" s="14">
        <v>0.95</v>
      </c>
      <c r="M15" s="14">
        <v>0.9</v>
      </c>
      <c r="N15" s="33">
        <v>2012.679465776294</v>
      </c>
      <c r="O15" s="33">
        <v>174.6160267111853</v>
      </c>
      <c r="P15" s="15">
        <f t="shared" si="2"/>
        <v>157.15442404006677</v>
      </c>
      <c r="Q15" s="15">
        <f t="shared" si="3"/>
        <v>1811.4115191986646</v>
      </c>
      <c r="R15" s="15">
        <f t="shared" si="4"/>
        <v>1710.7775459098498</v>
      </c>
      <c r="S15" s="39" t="s">
        <v>62</v>
      </c>
      <c r="T15" s="15">
        <f t="shared" si="5"/>
        <v>165.88522537562602</v>
      </c>
      <c r="U15" s="15">
        <f t="shared" si="6"/>
        <v>157.15442404006677</v>
      </c>
      <c r="V15" s="15">
        <f t="shared" si="7"/>
        <v>165.88522537562602</v>
      </c>
      <c r="W15" s="15">
        <f t="shared" si="8"/>
        <v>148.4236227045075</v>
      </c>
      <c r="X15" s="15">
        <f t="shared" si="9"/>
        <v>3236.94</v>
      </c>
      <c r="Y15" s="15">
        <f t="shared" si="10"/>
        <v>2265.8579999999997</v>
      </c>
      <c r="Z15" s="15">
        <f t="shared" si="11"/>
        <v>2265.8579999999997</v>
      </c>
      <c r="AA15" s="15">
        <f t="shared" si="12"/>
        <v>3587.792</v>
      </c>
      <c r="AB15" s="15">
        <f t="shared" si="13"/>
        <v>1076.3375999999998</v>
      </c>
      <c r="AC15" s="15">
        <f t="shared" si="14"/>
        <v>376.7181599999999</v>
      </c>
      <c r="AD15" s="12">
        <f t="shared" si="15"/>
        <v>322.90127999999993</v>
      </c>
      <c r="AE15" s="15">
        <f t="shared" si="16"/>
        <v>1851.1480000000001</v>
      </c>
      <c r="AF15" s="15">
        <f t="shared" si="17"/>
        <v>462.78700000000003</v>
      </c>
      <c r="AG15" s="12">
        <f t="shared" si="18"/>
        <v>138.83610000000002</v>
      </c>
      <c r="AH15" s="12">
        <f t="shared" si="19"/>
        <v>92.55740000000002</v>
      </c>
      <c r="AI15" s="39" t="s">
        <v>321</v>
      </c>
      <c r="AJ15" s="12">
        <f t="shared" si="20"/>
        <v>293.6</v>
      </c>
      <c r="AK15" s="12">
        <f t="shared" si="21"/>
        <v>58.720000000000006</v>
      </c>
      <c r="AL15" s="12">
        <f t="shared" si="22"/>
        <v>58.720000000000006</v>
      </c>
      <c r="AM15" s="12">
        <f t="shared" si="23"/>
        <v>35.232</v>
      </c>
      <c r="AN15" s="49">
        <v>1</v>
      </c>
      <c r="AO15" s="16">
        <v>0.95</v>
      </c>
      <c r="AP15" s="49">
        <v>1</v>
      </c>
      <c r="AQ15" s="16">
        <v>1</v>
      </c>
      <c r="AR15" s="16">
        <v>0.95</v>
      </c>
      <c r="AS15" s="16">
        <v>1</v>
      </c>
      <c r="AT15" s="16">
        <v>0.8</v>
      </c>
      <c r="AU15" s="16">
        <v>0.85</v>
      </c>
      <c r="AV15" s="16">
        <v>0.85</v>
      </c>
      <c r="AW15" s="49">
        <v>0.95</v>
      </c>
      <c r="AX15" s="49">
        <v>0.8</v>
      </c>
    </row>
    <row r="16" spans="2:50" s="23" customFormat="1" ht="25.5" customHeight="1">
      <c r="B16" s="38" t="s">
        <v>26</v>
      </c>
      <c r="C16" s="19">
        <f>SUM(C7:C15)</f>
        <v>771389</v>
      </c>
      <c r="D16" s="19">
        <f>SUM(D7:D15)</f>
        <v>578541.75</v>
      </c>
      <c r="E16" s="19">
        <f>SUM(E7:E15)</f>
        <v>578541.75</v>
      </c>
      <c r="F16" s="18">
        <v>12</v>
      </c>
      <c r="G16" s="18">
        <v>6</v>
      </c>
      <c r="H16" s="19">
        <f>SUM(H7:H15)</f>
        <v>414</v>
      </c>
      <c r="I16" s="19">
        <f>SUM(I7:I15)</f>
        <v>621</v>
      </c>
      <c r="J16" s="19">
        <f>SUM(J7:J15)</f>
        <v>828</v>
      </c>
      <c r="K16" s="20">
        <v>0.8</v>
      </c>
      <c r="L16" s="20">
        <v>0.95</v>
      </c>
      <c r="M16" s="20">
        <v>0.9</v>
      </c>
      <c r="N16" s="21">
        <f>SUM(N7:N15)</f>
        <v>36933.862977977384</v>
      </c>
      <c r="O16" s="21">
        <f>SUM(O7:O15)</f>
        <v>5615.850231096744</v>
      </c>
      <c r="P16" s="19">
        <f>SUM(P7:P15)</f>
        <v>5054.2652079870695</v>
      </c>
      <c r="Q16" s="19">
        <f>SUM(Q7:Q15)</f>
        <v>33240.47668017965</v>
      </c>
      <c r="R16" s="19">
        <f>SUM(R7:R15)</f>
        <v>31393.783531280773</v>
      </c>
      <c r="S16" s="38" t="s">
        <v>26</v>
      </c>
      <c r="T16" s="19">
        <f aca="true" t="shared" si="24" ref="T16:AE16">SUM(T7:T15)</f>
        <v>5335.057719541906</v>
      </c>
      <c r="U16" s="19">
        <f t="shared" si="24"/>
        <v>5054.2652079870695</v>
      </c>
      <c r="V16" s="19">
        <f t="shared" si="24"/>
        <v>5335.057719541906</v>
      </c>
      <c r="W16" s="19">
        <f t="shared" si="24"/>
        <v>4773.472696432233</v>
      </c>
      <c r="X16" s="19">
        <f t="shared" si="24"/>
        <v>68036.5098</v>
      </c>
      <c r="Y16" s="19">
        <f t="shared" si="24"/>
        <v>47625.55686</v>
      </c>
      <c r="Z16" s="19">
        <f t="shared" si="24"/>
        <v>47625.55686</v>
      </c>
      <c r="AA16" s="19">
        <f t="shared" si="24"/>
        <v>75410.98864</v>
      </c>
      <c r="AB16" s="19">
        <f t="shared" si="24"/>
        <v>22623.296592</v>
      </c>
      <c r="AC16" s="19">
        <f t="shared" si="24"/>
        <v>7918.1538072</v>
      </c>
      <c r="AD16" s="22">
        <f t="shared" si="24"/>
        <v>6786.9889776</v>
      </c>
      <c r="AE16" s="22">
        <f t="shared" si="24"/>
        <v>38908.86116</v>
      </c>
      <c r="AF16" s="19">
        <f>SUM(AF7:AF15)</f>
        <v>9727.21529</v>
      </c>
      <c r="AG16" s="22">
        <f>SUM(AG7:AG15)</f>
        <v>2918.164587</v>
      </c>
      <c r="AH16" s="22">
        <f>SUM(AH7:AH15)</f>
        <v>1945.443058</v>
      </c>
      <c r="AI16" s="38" t="s">
        <v>26</v>
      </c>
      <c r="AJ16" s="22">
        <f>SUM(AJ7:AJ15)</f>
        <v>6171.112000000002</v>
      </c>
      <c r="AK16" s="22">
        <f>SUM(AK7:AK15)</f>
        <v>1234.2224000000003</v>
      </c>
      <c r="AL16" s="22">
        <f>SUM(AL7:AL15)</f>
        <v>1234.2224000000003</v>
      </c>
      <c r="AM16" s="22">
        <f>SUM(AM7:AM15)</f>
        <v>740.5334399999999</v>
      </c>
      <c r="AN16" s="50">
        <v>1</v>
      </c>
      <c r="AO16" s="50">
        <v>0.95</v>
      </c>
      <c r="AP16" s="50">
        <v>1</v>
      </c>
      <c r="AQ16" s="50">
        <v>1</v>
      </c>
      <c r="AR16" s="50">
        <v>0.95</v>
      </c>
      <c r="AS16" s="50">
        <v>1</v>
      </c>
      <c r="AT16" s="50">
        <v>0.8</v>
      </c>
      <c r="AU16" s="50">
        <v>0.85</v>
      </c>
      <c r="AV16" s="50">
        <v>0.85</v>
      </c>
      <c r="AW16" s="50">
        <v>0.95</v>
      </c>
      <c r="AX16" s="50">
        <v>0.8</v>
      </c>
    </row>
    <row r="17" spans="2:40" s="26" customFormat="1" ht="16.5" customHeight="1">
      <c r="B17" s="150" t="s">
        <v>50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24"/>
      <c r="AL17" s="24"/>
      <c r="AM17" s="24"/>
      <c r="AN17" s="25"/>
    </row>
    <row r="18" spans="3:40" s="40" customFormat="1" ht="12">
      <c r="C18" s="41"/>
      <c r="M18" s="42"/>
      <c r="N18" s="41"/>
      <c r="O18" s="41"/>
      <c r="Q18" s="43"/>
      <c r="R18" s="43"/>
      <c r="S18" s="43"/>
      <c r="T18" s="43"/>
      <c r="U18" s="43"/>
      <c r="V18" s="43"/>
      <c r="W18" s="43"/>
      <c r="X18" s="44"/>
      <c r="Y18" s="43"/>
      <c r="Z18" s="43"/>
      <c r="AA18" s="44"/>
      <c r="AB18" s="43"/>
      <c r="AC18" s="43"/>
      <c r="AD18" s="43"/>
      <c r="AE18" s="44"/>
      <c r="AF18" s="43"/>
      <c r="AG18" s="43"/>
      <c r="AH18" s="43"/>
      <c r="AI18" s="43"/>
      <c r="AJ18" s="44"/>
      <c r="AK18" s="43"/>
      <c r="AL18" s="43"/>
      <c r="AM18" s="43"/>
      <c r="AN18" s="42"/>
    </row>
    <row r="19" spans="3:40" s="45" customFormat="1" ht="22.5" customHeight="1">
      <c r="C19" s="46"/>
      <c r="M19" s="47"/>
      <c r="N19" s="46"/>
      <c r="O19" s="46"/>
      <c r="X19" s="46"/>
      <c r="AA19" s="46"/>
      <c r="AE19" s="46"/>
      <c r="AJ19" s="46"/>
      <c r="AN19" s="47"/>
    </row>
  </sheetData>
  <sheetProtection/>
  <mergeCells count="65">
    <mergeCell ref="AW3:AW4"/>
    <mergeCell ref="AX3:AX6"/>
    <mergeCell ref="AS5:AS6"/>
    <mergeCell ref="AU5:AU6"/>
    <mergeCell ref="AV5:AV6"/>
    <mergeCell ref="AN3:AV4"/>
    <mergeCell ref="AT5:AT6"/>
    <mergeCell ref="AQ5:AQ6"/>
    <mergeCell ref="AR5:AR6"/>
    <mergeCell ref="B17:AJ17"/>
    <mergeCell ref="AO5:AO6"/>
    <mergeCell ref="AP5:AP6"/>
    <mergeCell ref="AW5:AW6"/>
    <mergeCell ref="AF5:AF6"/>
    <mergeCell ref="AG5:AG6"/>
    <mergeCell ref="AH5:AH6"/>
    <mergeCell ref="AJ5:AJ6"/>
    <mergeCell ref="AB5:AB6"/>
    <mergeCell ref="AC5:AC6"/>
    <mergeCell ref="AK5:AK6"/>
    <mergeCell ref="AL5:AL6"/>
    <mergeCell ref="AM5:AM6"/>
    <mergeCell ref="AN5:AN6"/>
    <mergeCell ref="V5:V6"/>
    <mergeCell ref="W5:W6"/>
    <mergeCell ref="AD5:AD6"/>
    <mergeCell ref="AE5:AE6"/>
    <mergeCell ref="X5:X6"/>
    <mergeCell ref="Y5:Y6"/>
    <mergeCell ref="Z5:Z6"/>
    <mergeCell ref="AA5:AA6"/>
    <mergeCell ref="Q5:Q6"/>
    <mergeCell ref="R5:R6"/>
    <mergeCell ref="T5:T6"/>
    <mergeCell ref="U5:U6"/>
    <mergeCell ref="AJ3:AM4"/>
    <mergeCell ref="D5:D6"/>
    <mergeCell ref="E5:E6"/>
    <mergeCell ref="F5:F6"/>
    <mergeCell ref="G5:G6"/>
    <mergeCell ref="H5:H6"/>
    <mergeCell ref="I5:I6"/>
    <mergeCell ref="J5:J6"/>
    <mergeCell ref="X3:Z4"/>
    <mergeCell ref="AA3:AD4"/>
    <mergeCell ref="AE3:AH4"/>
    <mergeCell ref="AI3:AI4"/>
    <mergeCell ref="B1:R1"/>
    <mergeCell ref="S1:AH1"/>
    <mergeCell ref="AI1:AX1"/>
    <mergeCell ref="AE2:AJ2"/>
    <mergeCell ref="B3:B4"/>
    <mergeCell ref="C3:C6"/>
    <mergeCell ref="D3:E4"/>
    <mergeCell ref="F3:K4"/>
    <mergeCell ref="T3:W4"/>
    <mergeCell ref="K5:K6"/>
    <mergeCell ref="L3:M4"/>
    <mergeCell ref="N3:R4"/>
    <mergeCell ref="S3:S4"/>
    <mergeCell ref="L5:L6"/>
    <mergeCell ref="M5:M6"/>
    <mergeCell ref="N5:N6"/>
    <mergeCell ref="O5:O6"/>
    <mergeCell ref="P5:P6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W16"/>
  <sheetViews>
    <sheetView zoomScalePageLayoutView="0" workbookViewId="0" topLeftCell="A1">
      <selection activeCell="H10" sqref="G10:H10"/>
    </sheetView>
  </sheetViews>
  <sheetFormatPr defaultColWidth="9.00390625" defaultRowHeight="14.25"/>
  <cols>
    <col min="1" max="1" width="10.00390625" style="63" customWidth="1"/>
    <col min="2" max="2" width="7.875" style="1" customWidth="1"/>
    <col min="3" max="4" width="7.00390625" style="3" customWidth="1"/>
    <col min="5" max="9" width="6.375" style="3" customWidth="1"/>
    <col min="10" max="12" width="7.00390625" style="3" customWidth="1"/>
    <col min="13" max="14" width="7.00390625" style="1" customWidth="1"/>
    <col min="15" max="15" width="7.00390625" style="6" customWidth="1"/>
    <col min="16" max="17" width="7.00390625" style="7" customWidth="1"/>
    <col min="18" max="18" width="9.875" style="7" customWidth="1"/>
    <col min="19" max="19" width="7.125" style="4" customWidth="1"/>
    <col min="20" max="20" width="9.625" style="4" customWidth="1"/>
    <col min="21" max="21" width="7.25390625" style="4" customWidth="1"/>
    <col min="22" max="22" width="7.25390625" style="7" customWidth="1"/>
    <col min="23" max="23" width="7.625" style="29" customWidth="1"/>
    <col min="24" max="25" width="7.625" style="4" customWidth="1"/>
    <col min="26" max="26" width="6.75390625" style="2" customWidth="1"/>
    <col min="27" max="28" width="6.75390625" style="4" customWidth="1"/>
    <col min="29" max="29" width="6.75390625" style="8" customWidth="1"/>
    <col min="30" max="30" width="7.25390625" style="30" customWidth="1"/>
    <col min="31" max="32" width="7.25390625" style="8" customWidth="1"/>
    <col min="33" max="33" width="7.25390625" style="4" customWidth="1"/>
    <col min="34" max="34" width="10.75390625" style="4" customWidth="1"/>
    <col min="35" max="35" width="8.75390625" style="30" customWidth="1"/>
    <col min="36" max="36" width="8.75390625" style="4" customWidth="1"/>
    <col min="37" max="38" width="8.75390625" style="8" customWidth="1"/>
    <col min="39" max="49" width="8.75390625" style="3" customWidth="1"/>
    <col min="50" max="16384" width="9.00390625" style="3" customWidth="1"/>
  </cols>
  <sheetData>
    <row r="1" spans="1:47" s="28" customFormat="1" ht="22.5" customHeight="1">
      <c r="A1" s="136" t="s">
        <v>335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 t="s">
        <v>340</v>
      </c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 t="s">
        <v>340</v>
      </c>
      <c r="AI1" s="136"/>
      <c r="AJ1" s="136"/>
      <c r="AK1" s="136"/>
      <c r="AL1" s="136"/>
      <c r="AM1" s="136"/>
      <c r="AN1" s="136"/>
      <c r="AO1" s="136"/>
      <c r="AP1" s="136"/>
      <c r="AQ1" s="136"/>
      <c r="AR1" s="27"/>
      <c r="AS1" s="27"/>
      <c r="AT1" s="27"/>
      <c r="AU1" s="27"/>
    </row>
    <row r="2" spans="1:38" s="4" customFormat="1" ht="15" customHeight="1">
      <c r="A2" s="31" t="s">
        <v>63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51"/>
      <c r="N2" s="51"/>
      <c r="O2" s="51"/>
      <c r="P2" s="51"/>
      <c r="Q2" s="5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9"/>
      <c r="AD2" s="137"/>
      <c r="AE2" s="137"/>
      <c r="AF2" s="137"/>
      <c r="AG2" s="138"/>
      <c r="AH2" s="138"/>
      <c r="AI2" s="137"/>
      <c r="AJ2" s="9"/>
      <c r="AK2" s="10"/>
      <c r="AL2" s="10"/>
    </row>
    <row r="3" spans="1:49" s="11" customFormat="1" ht="17.25" customHeight="1">
      <c r="A3" s="159" t="s">
        <v>7</v>
      </c>
      <c r="B3" s="139" t="s">
        <v>0</v>
      </c>
      <c r="C3" s="123" t="s">
        <v>2</v>
      </c>
      <c r="D3" s="123"/>
      <c r="E3" s="122" t="s">
        <v>1</v>
      </c>
      <c r="F3" s="123"/>
      <c r="G3" s="123"/>
      <c r="H3" s="123"/>
      <c r="I3" s="123"/>
      <c r="J3" s="128"/>
      <c r="K3" s="123" t="s">
        <v>31</v>
      </c>
      <c r="L3" s="123"/>
      <c r="M3" s="122" t="s">
        <v>64</v>
      </c>
      <c r="N3" s="123"/>
      <c r="O3" s="123"/>
      <c r="P3" s="123"/>
      <c r="Q3" s="128"/>
      <c r="R3" s="157" t="s">
        <v>7</v>
      </c>
      <c r="S3" s="122" t="s">
        <v>3</v>
      </c>
      <c r="T3" s="123"/>
      <c r="U3" s="123"/>
      <c r="V3" s="123"/>
      <c r="W3" s="122" t="s">
        <v>65</v>
      </c>
      <c r="X3" s="123"/>
      <c r="Y3" s="123"/>
      <c r="Z3" s="122" t="s">
        <v>24</v>
      </c>
      <c r="AA3" s="123"/>
      <c r="AB3" s="123"/>
      <c r="AC3" s="123"/>
      <c r="AD3" s="122" t="s">
        <v>17</v>
      </c>
      <c r="AE3" s="123"/>
      <c r="AF3" s="123"/>
      <c r="AG3" s="128"/>
      <c r="AH3" s="157" t="s">
        <v>7</v>
      </c>
      <c r="AI3" s="119" t="s">
        <v>23</v>
      </c>
      <c r="AJ3" s="120"/>
      <c r="AK3" s="120"/>
      <c r="AL3" s="120"/>
      <c r="AM3" s="123" t="s">
        <v>22</v>
      </c>
      <c r="AN3" s="123"/>
      <c r="AO3" s="123"/>
      <c r="AP3" s="123"/>
      <c r="AQ3" s="123"/>
      <c r="AR3" s="123"/>
      <c r="AS3" s="123"/>
      <c r="AT3" s="123"/>
      <c r="AU3" s="128"/>
      <c r="AV3" s="151" t="s">
        <v>49</v>
      </c>
      <c r="AW3" s="153" t="s">
        <v>48</v>
      </c>
    </row>
    <row r="4" spans="1:49" s="5" customFormat="1" ht="16.5" customHeight="1">
      <c r="A4" s="160"/>
      <c r="B4" s="140"/>
      <c r="C4" s="125"/>
      <c r="D4" s="125"/>
      <c r="E4" s="124"/>
      <c r="F4" s="125"/>
      <c r="G4" s="125"/>
      <c r="H4" s="125"/>
      <c r="I4" s="125"/>
      <c r="J4" s="129"/>
      <c r="K4" s="125"/>
      <c r="L4" s="125"/>
      <c r="M4" s="124"/>
      <c r="N4" s="125"/>
      <c r="O4" s="125"/>
      <c r="P4" s="125"/>
      <c r="Q4" s="129"/>
      <c r="R4" s="158"/>
      <c r="S4" s="124"/>
      <c r="T4" s="125"/>
      <c r="U4" s="125"/>
      <c r="V4" s="125"/>
      <c r="W4" s="124"/>
      <c r="X4" s="125"/>
      <c r="Y4" s="125"/>
      <c r="Z4" s="124"/>
      <c r="AA4" s="125"/>
      <c r="AB4" s="125"/>
      <c r="AC4" s="125"/>
      <c r="AD4" s="124"/>
      <c r="AE4" s="125"/>
      <c r="AF4" s="125"/>
      <c r="AG4" s="129"/>
      <c r="AH4" s="158"/>
      <c r="AI4" s="141"/>
      <c r="AJ4" s="142"/>
      <c r="AK4" s="142"/>
      <c r="AL4" s="142"/>
      <c r="AM4" s="125"/>
      <c r="AN4" s="125"/>
      <c r="AO4" s="125"/>
      <c r="AP4" s="125"/>
      <c r="AQ4" s="125"/>
      <c r="AR4" s="125"/>
      <c r="AS4" s="125"/>
      <c r="AT4" s="125"/>
      <c r="AU4" s="129"/>
      <c r="AV4" s="152"/>
      <c r="AW4" s="154"/>
    </row>
    <row r="5" spans="1:49" s="5" customFormat="1" ht="26.25" customHeight="1">
      <c r="A5" s="52"/>
      <c r="B5" s="140"/>
      <c r="C5" s="132" t="s">
        <v>66</v>
      </c>
      <c r="D5" s="126" t="s">
        <v>29</v>
      </c>
      <c r="E5" s="144" t="s">
        <v>4</v>
      </c>
      <c r="F5" s="126" t="s">
        <v>35</v>
      </c>
      <c r="G5" s="144" t="s">
        <v>341</v>
      </c>
      <c r="H5" s="126" t="s">
        <v>5</v>
      </c>
      <c r="I5" s="126" t="s">
        <v>6</v>
      </c>
      <c r="J5" s="126" t="s">
        <v>32</v>
      </c>
      <c r="K5" s="126" t="s">
        <v>33</v>
      </c>
      <c r="L5" s="132" t="s">
        <v>34</v>
      </c>
      <c r="M5" s="149" t="s">
        <v>43</v>
      </c>
      <c r="N5" s="149" t="s">
        <v>44</v>
      </c>
      <c r="O5" s="149" t="s">
        <v>40</v>
      </c>
      <c r="P5" s="149" t="s">
        <v>41</v>
      </c>
      <c r="Q5" s="149" t="s">
        <v>42</v>
      </c>
      <c r="R5" s="52"/>
      <c r="S5" s="126" t="s">
        <v>67</v>
      </c>
      <c r="T5" s="126" t="s">
        <v>68</v>
      </c>
      <c r="U5" s="126" t="s">
        <v>69</v>
      </c>
      <c r="V5" s="145" t="s">
        <v>70</v>
      </c>
      <c r="W5" s="126" t="s">
        <v>71</v>
      </c>
      <c r="X5" s="126" t="s">
        <v>72</v>
      </c>
      <c r="Y5" s="126" t="s">
        <v>73</v>
      </c>
      <c r="Z5" s="126" t="s">
        <v>74</v>
      </c>
      <c r="AA5" s="126" t="s">
        <v>75</v>
      </c>
      <c r="AB5" s="126" t="s">
        <v>76</v>
      </c>
      <c r="AC5" s="147" t="s">
        <v>77</v>
      </c>
      <c r="AD5" s="149" t="s">
        <v>78</v>
      </c>
      <c r="AE5" s="149" t="s">
        <v>75</v>
      </c>
      <c r="AF5" s="149" t="s">
        <v>79</v>
      </c>
      <c r="AG5" s="156" t="s">
        <v>80</v>
      </c>
      <c r="AH5" s="52"/>
      <c r="AI5" s="149" t="s">
        <v>15</v>
      </c>
      <c r="AJ5" s="149" t="s">
        <v>47</v>
      </c>
      <c r="AK5" s="126" t="s">
        <v>38</v>
      </c>
      <c r="AL5" s="126" t="s">
        <v>16</v>
      </c>
      <c r="AM5" s="144" t="s">
        <v>18</v>
      </c>
      <c r="AN5" s="144" t="s">
        <v>19</v>
      </c>
      <c r="AO5" s="144" t="s">
        <v>20</v>
      </c>
      <c r="AP5" s="126" t="s">
        <v>329</v>
      </c>
      <c r="AQ5" s="126" t="s">
        <v>330</v>
      </c>
      <c r="AR5" s="126" t="s">
        <v>331</v>
      </c>
      <c r="AS5" s="126" t="s">
        <v>332</v>
      </c>
      <c r="AT5" s="126" t="s">
        <v>333</v>
      </c>
      <c r="AU5" s="126" t="s">
        <v>334</v>
      </c>
      <c r="AV5" s="144" t="s">
        <v>21</v>
      </c>
      <c r="AW5" s="154"/>
    </row>
    <row r="6" spans="1:49" s="5" customFormat="1" ht="54" customHeight="1">
      <c r="A6" s="53" t="s">
        <v>81</v>
      </c>
      <c r="B6" s="118"/>
      <c r="C6" s="133"/>
      <c r="D6" s="127"/>
      <c r="E6" s="144"/>
      <c r="F6" s="127"/>
      <c r="G6" s="144"/>
      <c r="H6" s="127"/>
      <c r="I6" s="127"/>
      <c r="J6" s="127"/>
      <c r="K6" s="127"/>
      <c r="L6" s="133"/>
      <c r="M6" s="127"/>
      <c r="N6" s="127"/>
      <c r="O6" s="127"/>
      <c r="P6" s="127"/>
      <c r="Q6" s="127"/>
      <c r="R6" s="54" t="s">
        <v>81</v>
      </c>
      <c r="S6" s="127"/>
      <c r="T6" s="127"/>
      <c r="U6" s="127"/>
      <c r="V6" s="146"/>
      <c r="W6" s="127"/>
      <c r="X6" s="127"/>
      <c r="Y6" s="127"/>
      <c r="Z6" s="127"/>
      <c r="AA6" s="127"/>
      <c r="AB6" s="127"/>
      <c r="AC6" s="148"/>
      <c r="AD6" s="127"/>
      <c r="AE6" s="127"/>
      <c r="AF6" s="127"/>
      <c r="AG6" s="148"/>
      <c r="AH6" s="54" t="s">
        <v>81</v>
      </c>
      <c r="AI6" s="127"/>
      <c r="AJ6" s="127"/>
      <c r="AK6" s="127"/>
      <c r="AL6" s="127"/>
      <c r="AM6" s="144"/>
      <c r="AN6" s="144"/>
      <c r="AO6" s="144"/>
      <c r="AP6" s="127"/>
      <c r="AQ6" s="127"/>
      <c r="AR6" s="127"/>
      <c r="AS6" s="127"/>
      <c r="AT6" s="127"/>
      <c r="AU6" s="127"/>
      <c r="AV6" s="144"/>
      <c r="AW6" s="155"/>
    </row>
    <row r="7" spans="1:49" s="17" customFormat="1" ht="29.25" customHeight="1">
      <c r="A7" s="55" t="s">
        <v>82</v>
      </c>
      <c r="B7" s="56">
        <v>25039</v>
      </c>
      <c r="C7" s="12">
        <f>B7*0.75</f>
        <v>18779.25</v>
      </c>
      <c r="D7" s="12">
        <f>B7*0.75</f>
        <v>18779.25</v>
      </c>
      <c r="E7" s="13">
        <v>12</v>
      </c>
      <c r="F7" s="13">
        <v>6</v>
      </c>
      <c r="G7" s="13">
        <v>6</v>
      </c>
      <c r="H7" s="13">
        <v>9</v>
      </c>
      <c r="I7" s="13">
        <v>12</v>
      </c>
      <c r="J7" s="14">
        <v>0.8</v>
      </c>
      <c r="K7" s="14">
        <v>0.95</v>
      </c>
      <c r="L7" s="14">
        <v>0.9</v>
      </c>
      <c r="M7" s="57">
        <f>B7*0.0535</f>
        <v>1339.5865</v>
      </c>
      <c r="N7" s="57">
        <f>B7*0.0095</f>
        <v>237.8705</v>
      </c>
      <c r="O7" s="15">
        <f>N7*0.9</f>
        <v>214.08345</v>
      </c>
      <c r="P7" s="15">
        <f>M7*0.9</f>
        <v>1205.6278499999999</v>
      </c>
      <c r="Q7" s="15">
        <f>M7*0.85</f>
        <v>1138.6485249999998</v>
      </c>
      <c r="R7" s="55" t="s">
        <v>82</v>
      </c>
      <c r="S7" s="15">
        <f>N7*0.95</f>
        <v>225.97697499999998</v>
      </c>
      <c r="T7" s="35">
        <f>N7*0.9</f>
        <v>214.08345</v>
      </c>
      <c r="U7" s="35">
        <f>N7*0.95</f>
        <v>225.97697499999998</v>
      </c>
      <c r="V7" s="35">
        <f>N7*0.85</f>
        <v>202.189925</v>
      </c>
      <c r="W7" s="35">
        <f>B7*0.0882</f>
        <v>2208.4398</v>
      </c>
      <c r="X7" s="35">
        <f>W7*0.7</f>
        <v>1545.90786</v>
      </c>
      <c r="Y7" s="35">
        <f>W7*0.7</f>
        <v>1545.90786</v>
      </c>
      <c r="Z7" s="35">
        <f>B7*0.52*0.188</f>
        <v>2447.81264</v>
      </c>
      <c r="AA7" s="35">
        <f>Z7*0.3</f>
        <v>734.343792</v>
      </c>
      <c r="AB7" s="35">
        <f>AA7*0.35</f>
        <v>257.0203272</v>
      </c>
      <c r="AC7" s="103">
        <f>AA7*0.3</f>
        <v>220.30313759999999</v>
      </c>
      <c r="AD7" s="33">
        <f>B7*0.52*0.097</f>
        <v>1262.9671600000001</v>
      </c>
      <c r="AE7" s="15">
        <f>AD7*0.25</f>
        <v>315.74179000000004</v>
      </c>
      <c r="AF7" s="15">
        <f>AE7*0.3</f>
        <v>94.722537</v>
      </c>
      <c r="AG7" s="48">
        <f>AE7*0.2</f>
        <v>63.14835800000001</v>
      </c>
      <c r="AH7" s="55" t="s">
        <v>82</v>
      </c>
      <c r="AI7" s="15">
        <f>B7*8/1000</f>
        <v>200.312</v>
      </c>
      <c r="AJ7" s="15">
        <f>AI7*0.2</f>
        <v>40.062400000000004</v>
      </c>
      <c r="AK7" s="15">
        <f>AI7*0.2</f>
        <v>40.062400000000004</v>
      </c>
      <c r="AL7" s="15">
        <f>AK7*0.6</f>
        <v>24.03744</v>
      </c>
      <c r="AM7" s="16">
        <v>1</v>
      </c>
      <c r="AN7" s="16">
        <v>0.95</v>
      </c>
      <c r="AO7" s="16">
        <v>1</v>
      </c>
      <c r="AP7" s="16">
        <v>1</v>
      </c>
      <c r="AQ7" s="16">
        <v>0.95</v>
      </c>
      <c r="AR7" s="16">
        <v>1</v>
      </c>
      <c r="AS7" s="16">
        <v>0.8</v>
      </c>
      <c r="AT7" s="16">
        <v>0.85</v>
      </c>
      <c r="AU7" s="16">
        <v>0.85</v>
      </c>
      <c r="AV7" s="16">
        <v>0.95</v>
      </c>
      <c r="AW7" s="16">
        <v>0.8</v>
      </c>
    </row>
    <row r="8" spans="1:49" s="17" customFormat="1" ht="29.25" customHeight="1">
      <c r="A8" s="55" t="s">
        <v>83</v>
      </c>
      <c r="B8" s="59">
        <v>27761</v>
      </c>
      <c r="C8" s="12">
        <f>B8*0.75</f>
        <v>20820.75</v>
      </c>
      <c r="D8" s="12">
        <f>B8*0.75</f>
        <v>20820.75</v>
      </c>
      <c r="E8" s="13">
        <v>12</v>
      </c>
      <c r="F8" s="13">
        <v>6</v>
      </c>
      <c r="G8" s="13">
        <v>6</v>
      </c>
      <c r="H8" s="13">
        <v>9</v>
      </c>
      <c r="I8" s="13">
        <v>12</v>
      </c>
      <c r="J8" s="14">
        <v>0.8</v>
      </c>
      <c r="K8" s="14">
        <v>0.95</v>
      </c>
      <c r="L8" s="14">
        <v>0.9</v>
      </c>
      <c r="M8" s="57">
        <f>B8*0.0535</f>
        <v>1485.2135</v>
      </c>
      <c r="N8" s="57">
        <f>B8*0.0095</f>
        <v>263.7295</v>
      </c>
      <c r="O8" s="15">
        <f>N8*0.9</f>
        <v>237.35654999999997</v>
      </c>
      <c r="P8" s="15">
        <f>M8*0.9</f>
        <v>1336.69215</v>
      </c>
      <c r="Q8" s="15">
        <f>M8*0.85</f>
        <v>1262.431475</v>
      </c>
      <c r="R8" s="55" t="s">
        <v>83</v>
      </c>
      <c r="S8" s="15">
        <f>N8*0.95</f>
        <v>250.54302499999997</v>
      </c>
      <c r="T8" s="35">
        <f>N8*0.9</f>
        <v>237.35654999999997</v>
      </c>
      <c r="U8" s="35">
        <f>N8*0.95</f>
        <v>250.54302499999997</v>
      </c>
      <c r="V8" s="35">
        <f>N8*0.85</f>
        <v>224.17007499999997</v>
      </c>
      <c r="W8" s="35">
        <f>B8*0.0882</f>
        <v>2448.5202</v>
      </c>
      <c r="X8" s="35">
        <f>W8*0.7</f>
        <v>1713.9641399999998</v>
      </c>
      <c r="Y8" s="35">
        <f>W8*0.7</f>
        <v>1713.9641399999998</v>
      </c>
      <c r="Z8" s="35">
        <f>B8*0.52*0.188</f>
        <v>2713.9153600000004</v>
      </c>
      <c r="AA8" s="35">
        <f>Z8*0.3</f>
        <v>814.1746080000001</v>
      </c>
      <c r="AB8" s="35">
        <f>AA8*0.35</f>
        <v>284.9611128</v>
      </c>
      <c r="AC8" s="103">
        <f>AA8*0.3</f>
        <v>244.25238240000004</v>
      </c>
      <c r="AD8" s="33">
        <f>B8*0.52*0.097</f>
        <v>1400.26484</v>
      </c>
      <c r="AE8" s="15">
        <f>AD8*0.25</f>
        <v>350.06621</v>
      </c>
      <c r="AF8" s="15">
        <f>AE8*0.3</f>
        <v>105.019863</v>
      </c>
      <c r="AG8" s="48">
        <f>AE8*0.2</f>
        <v>70.013242</v>
      </c>
      <c r="AH8" s="55" t="s">
        <v>83</v>
      </c>
      <c r="AI8" s="15">
        <f>B8*8/1000</f>
        <v>222.088</v>
      </c>
      <c r="AJ8" s="15">
        <f>AI8*0.2</f>
        <v>44.4176</v>
      </c>
      <c r="AK8" s="15">
        <f>AI8*0.2</f>
        <v>44.4176</v>
      </c>
      <c r="AL8" s="15">
        <f>AK8*0.6</f>
        <v>26.65056</v>
      </c>
      <c r="AM8" s="49">
        <v>1</v>
      </c>
      <c r="AN8" s="16">
        <v>0.95</v>
      </c>
      <c r="AO8" s="49">
        <v>1</v>
      </c>
      <c r="AP8" s="16">
        <v>1</v>
      </c>
      <c r="AQ8" s="16">
        <v>0.95</v>
      </c>
      <c r="AR8" s="16">
        <v>1</v>
      </c>
      <c r="AS8" s="16">
        <v>0.8</v>
      </c>
      <c r="AT8" s="16">
        <v>0.85</v>
      </c>
      <c r="AU8" s="16">
        <v>0.85</v>
      </c>
      <c r="AV8" s="16">
        <v>0.95</v>
      </c>
      <c r="AW8" s="16">
        <v>0.8</v>
      </c>
    </row>
    <row r="9" spans="1:49" s="17" customFormat="1" ht="29.25" customHeight="1">
      <c r="A9" s="60" t="s">
        <v>84</v>
      </c>
      <c r="B9" s="61">
        <v>101147</v>
      </c>
      <c r="C9" s="12">
        <f>B9*0.75</f>
        <v>75860.25</v>
      </c>
      <c r="D9" s="12">
        <f>B9*0.75</f>
        <v>75860.25</v>
      </c>
      <c r="E9" s="13">
        <v>12</v>
      </c>
      <c r="F9" s="13">
        <v>6</v>
      </c>
      <c r="G9" s="13">
        <v>6</v>
      </c>
      <c r="H9" s="13">
        <v>9</v>
      </c>
      <c r="I9" s="13">
        <v>12</v>
      </c>
      <c r="J9" s="14">
        <v>0.8</v>
      </c>
      <c r="K9" s="14">
        <v>0.95</v>
      </c>
      <c r="L9" s="14">
        <v>0.9</v>
      </c>
      <c r="M9" s="57">
        <f>B9*0.0535</f>
        <v>5411.3645</v>
      </c>
      <c r="N9" s="57">
        <f>B9*0.0095</f>
        <v>960.8965</v>
      </c>
      <c r="O9" s="15">
        <f>N9*0.9</f>
        <v>864.8068499999999</v>
      </c>
      <c r="P9" s="15">
        <f>M9*0.9</f>
        <v>4870.22805</v>
      </c>
      <c r="Q9" s="15">
        <f>M9*0.85</f>
        <v>4599.659825</v>
      </c>
      <c r="R9" s="60" t="s">
        <v>84</v>
      </c>
      <c r="S9" s="15">
        <f>N9*0.95</f>
        <v>912.8516749999999</v>
      </c>
      <c r="T9" s="35">
        <f>N9*0.9</f>
        <v>864.8068499999999</v>
      </c>
      <c r="U9" s="35">
        <f>N9*0.95</f>
        <v>912.8516749999999</v>
      </c>
      <c r="V9" s="35">
        <f>N9*0.85</f>
        <v>816.7620249999999</v>
      </c>
      <c r="W9" s="35">
        <f>B9*0.0882</f>
        <v>8921.1654</v>
      </c>
      <c r="X9" s="35">
        <f>W9*0.7</f>
        <v>6244.81578</v>
      </c>
      <c r="Y9" s="35">
        <f>W9*0.7</f>
        <v>6244.81578</v>
      </c>
      <c r="Z9" s="35">
        <f>B9*0.52*0.188</f>
        <v>9888.130720000001</v>
      </c>
      <c r="AA9" s="35">
        <f>Z9*0.3</f>
        <v>2966.439216</v>
      </c>
      <c r="AB9" s="35">
        <f>AA9*0.35</f>
        <v>1038.2537256</v>
      </c>
      <c r="AC9" s="103">
        <f>AA9*0.3</f>
        <v>889.9317648</v>
      </c>
      <c r="AD9" s="33">
        <f>B9*0.52*0.097</f>
        <v>5101.85468</v>
      </c>
      <c r="AE9" s="15">
        <f>AD9*0.25</f>
        <v>1275.46367</v>
      </c>
      <c r="AF9" s="15">
        <f>AE9*0.3</f>
        <v>382.63910100000004</v>
      </c>
      <c r="AG9" s="48">
        <f>AE9*0.2</f>
        <v>255.09273400000004</v>
      </c>
      <c r="AH9" s="60" t="s">
        <v>84</v>
      </c>
      <c r="AI9" s="15">
        <f>B9*8/1000</f>
        <v>809.176</v>
      </c>
      <c r="AJ9" s="15">
        <f>AI9*0.2</f>
        <v>161.83520000000001</v>
      </c>
      <c r="AK9" s="15">
        <f>AI9*0.2</f>
        <v>161.83520000000001</v>
      </c>
      <c r="AL9" s="15">
        <f>AK9*0.6</f>
        <v>97.10112000000001</v>
      </c>
      <c r="AM9" s="49">
        <v>1</v>
      </c>
      <c r="AN9" s="16">
        <v>0.95</v>
      </c>
      <c r="AO9" s="49">
        <v>1</v>
      </c>
      <c r="AP9" s="16">
        <v>1</v>
      </c>
      <c r="AQ9" s="16">
        <v>0.95</v>
      </c>
      <c r="AR9" s="16">
        <v>1</v>
      </c>
      <c r="AS9" s="16">
        <v>0.8</v>
      </c>
      <c r="AT9" s="16">
        <v>0.85</v>
      </c>
      <c r="AU9" s="16">
        <v>0.85</v>
      </c>
      <c r="AV9" s="16">
        <v>0.95</v>
      </c>
      <c r="AW9" s="16">
        <v>0.8</v>
      </c>
    </row>
    <row r="10" spans="1:49" s="23" customFormat="1" ht="29.25" customHeight="1">
      <c r="A10" s="62" t="s">
        <v>26</v>
      </c>
      <c r="B10" s="18">
        <f>SUM(B7:B9)</f>
        <v>153947</v>
      </c>
      <c r="C10" s="19">
        <f>SUM(C7:C9)</f>
        <v>115460.25</v>
      </c>
      <c r="D10" s="19">
        <f>SUM(D7:D9)</f>
        <v>115460.25</v>
      </c>
      <c r="E10" s="18">
        <v>12</v>
      </c>
      <c r="F10" s="18">
        <v>6</v>
      </c>
      <c r="G10" s="18">
        <f>SUM(G7:G9)</f>
        <v>18</v>
      </c>
      <c r="H10" s="18">
        <f>SUM(H7:H9)</f>
        <v>27</v>
      </c>
      <c r="I10" s="18">
        <f>SUM(I7:I9)</f>
        <v>36</v>
      </c>
      <c r="J10" s="20">
        <v>0.8</v>
      </c>
      <c r="K10" s="20">
        <v>0.95</v>
      </c>
      <c r="L10" s="20">
        <v>0.9</v>
      </c>
      <c r="M10" s="21">
        <f>SUM(M7:M9)</f>
        <v>8236.164499999999</v>
      </c>
      <c r="N10" s="21">
        <f>SUM(N7:N9)</f>
        <v>1462.4965</v>
      </c>
      <c r="O10" s="19">
        <f>SUM(O7:O9)</f>
        <v>1316.24685</v>
      </c>
      <c r="P10" s="19">
        <f>SUM(P7:P9)</f>
        <v>7412.548049999999</v>
      </c>
      <c r="Q10" s="19">
        <f>SUM(Q7:Q9)</f>
        <v>7000.739825</v>
      </c>
      <c r="R10" s="62" t="s">
        <v>26</v>
      </c>
      <c r="S10" s="19">
        <f aca="true" t="shared" si="0" ref="S10:AG10">SUM(S7:S9)</f>
        <v>1389.3716749999999</v>
      </c>
      <c r="T10" s="19">
        <f t="shared" si="0"/>
        <v>1316.24685</v>
      </c>
      <c r="U10" s="19">
        <f t="shared" si="0"/>
        <v>1389.3716749999999</v>
      </c>
      <c r="V10" s="19">
        <f t="shared" si="0"/>
        <v>1243.122025</v>
      </c>
      <c r="W10" s="19">
        <f t="shared" si="0"/>
        <v>13578.1254</v>
      </c>
      <c r="X10" s="19">
        <f t="shared" si="0"/>
        <v>9504.68778</v>
      </c>
      <c r="Y10" s="19">
        <f t="shared" si="0"/>
        <v>9504.68778</v>
      </c>
      <c r="Z10" s="19">
        <f t="shared" si="0"/>
        <v>15049.858720000002</v>
      </c>
      <c r="AA10" s="19">
        <f t="shared" si="0"/>
        <v>4514.957616000001</v>
      </c>
      <c r="AB10" s="19">
        <f t="shared" si="0"/>
        <v>1580.2351656</v>
      </c>
      <c r="AC10" s="22">
        <f t="shared" si="0"/>
        <v>1354.4872848</v>
      </c>
      <c r="AD10" s="19">
        <f t="shared" si="0"/>
        <v>7765.08668</v>
      </c>
      <c r="AE10" s="19">
        <f t="shared" si="0"/>
        <v>1941.27167</v>
      </c>
      <c r="AF10" s="22">
        <f t="shared" si="0"/>
        <v>582.3815010000001</v>
      </c>
      <c r="AG10" s="22">
        <f t="shared" si="0"/>
        <v>388.2543340000001</v>
      </c>
      <c r="AH10" s="62" t="s">
        <v>26</v>
      </c>
      <c r="AI10" s="22">
        <f>SUM(AI7:AI9)</f>
        <v>1231.576</v>
      </c>
      <c r="AJ10" s="22">
        <f>SUM(AJ7:AJ9)</f>
        <v>246.3152</v>
      </c>
      <c r="AK10" s="22">
        <f>SUM(AK7:AK9)</f>
        <v>246.3152</v>
      </c>
      <c r="AL10" s="22">
        <f>SUM(AL7:AL9)</f>
        <v>147.78912000000003</v>
      </c>
      <c r="AM10" s="109">
        <v>1</v>
      </c>
      <c r="AN10" s="50">
        <v>0.95</v>
      </c>
      <c r="AO10" s="109">
        <v>1</v>
      </c>
      <c r="AP10" s="50">
        <v>1</v>
      </c>
      <c r="AQ10" s="50">
        <v>0.95</v>
      </c>
      <c r="AR10" s="50">
        <v>1</v>
      </c>
      <c r="AS10" s="50">
        <v>0.8</v>
      </c>
      <c r="AT10" s="50">
        <v>0.85</v>
      </c>
      <c r="AU10" s="50">
        <v>0.85</v>
      </c>
      <c r="AV10" s="50">
        <v>0.95</v>
      </c>
      <c r="AW10" s="50">
        <v>0.8</v>
      </c>
    </row>
    <row r="11" spans="1:47" s="26" customFormat="1" ht="29.25" customHeight="1">
      <c r="A11" s="150" t="s">
        <v>85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24"/>
      <c r="AK11" s="24"/>
      <c r="AL11" s="24"/>
      <c r="AM11" s="104"/>
      <c r="AN11" s="105"/>
      <c r="AO11" s="104"/>
      <c r="AP11" s="105"/>
      <c r="AQ11" s="105"/>
      <c r="AR11" s="105"/>
      <c r="AS11" s="105"/>
      <c r="AT11" s="105"/>
      <c r="AU11" s="105"/>
    </row>
    <row r="12" spans="12:47" ht="14.25">
      <c r="L12" s="64"/>
      <c r="AM12" s="106"/>
      <c r="AN12" s="107"/>
      <c r="AO12" s="106"/>
      <c r="AP12" s="107"/>
      <c r="AQ12" s="107"/>
      <c r="AR12" s="107"/>
      <c r="AS12" s="107"/>
      <c r="AT12" s="107"/>
      <c r="AU12" s="107"/>
    </row>
    <row r="13" spans="12:47" ht="14.25">
      <c r="L13" s="64"/>
      <c r="AM13" s="106"/>
      <c r="AN13" s="107"/>
      <c r="AO13" s="106"/>
      <c r="AP13" s="107"/>
      <c r="AQ13" s="107"/>
      <c r="AR13" s="107"/>
      <c r="AS13" s="107"/>
      <c r="AT13" s="107"/>
      <c r="AU13" s="107"/>
    </row>
    <row r="14" spans="39:47" ht="14.25">
      <c r="AM14" s="106"/>
      <c r="AN14" s="107"/>
      <c r="AO14" s="106"/>
      <c r="AP14" s="107"/>
      <c r="AQ14" s="107"/>
      <c r="AR14" s="107"/>
      <c r="AS14" s="107"/>
      <c r="AT14" s="107"/>
      <c r="AU14" s="107"/>
    </row>
    <row r="15" spans="39:47" ht="14.25">
      <c r="AM15" s="106"/>
      <c r="AN15" s="107"/>
      <c r="AO15" s="106"/>
      <c r="AP15" s="107"/>
      <c r="AQ15" s="107"/>
      <c r="AR15" s="107"/>
      <c r="AS15" s="107"/>
      <c r="AT15" s="107"/>
      <c r="AU15" s="107"/>
    </row>
    <row r="16" spans="39:47" ht="14.25">
      <c r="AM16" s="108"/>
      <c r="AN16" s="108"/>
      <c r="AO16" s="108"/>
      <c r="AP16" s="108"/>
      <c r="AQ16" s="108"/>
      <c r="AR16" s="108"/>
      <c r="AS16" s="108"/>
      <c r="AT16" s="108"/>
      <c r="AU16" s="108"/>
    </row>
  </sheetData>
  <sheetProtection/>
  <mergeCells count="65">
    <mergeCell ref="AV3:AV4"/>
    <mergeCell ref="AW3:AW6"/>
    <mergeCell ref="AM3:AU4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1:Q1"/>
    <mergeCell ref="R1:AG1"/>
    <mergeCell ref="AH1:AQ1"/>
    <mergeCell ref="AD2:AI2"/>
    <mergeCell ref="A3:A4"/>
    <mergeCell ref="B3:B6"/>
    <mergeCell ref="C3:D4"/>
    <mergeCell ref="E3:J4"/>
    <mergeCell ref="J5:J6"/>
    <mergeCell ref="K3:L4"/>
    <mergeCell ref="M3:Q4"/>
    <mergeCell ref="R3:R4"/>
    <mergeCell ref="L5:L6"/>
    <mergeCell ref="M5:M6"/>
    <mergeCell ref="N5:N6"/>
    <mergeCell ref="O5:O6"/>
    <mergeCell ref="P5:P6"/>
    <mergeCell ref="Q5:Q6"/>
    <mergeCell ref="S3:V4"/>
    <mergeCell ref="W3:Y4"/>
    <mergeCell ref="Z3:AC4"/>
    <mergeCell ref="AD3:AG4"/>
    <mergeCell ref="AH3:AH4"/>
    <mergeCell ref="AI3:AL4"/>
    <mergeCell ref="C5:C6"/>
    <mergeCell ref="D5:D6"/>
    <mergeCell ref="E5:E6"/>
    <mergeCell ref="F5:F6"/>
    <mergeCell ref="G5:G6"/>
    <mergeCell ref="H5:H6"/>
    <mergeCell ref="I5:I6"/>
    <mergeCell ref="K5:K6"/>
    <mergeCell ref="S5:S6"/>
    <mergeCell ref="T5:T6"/>
    <mergeCell ref="U5:U6"/>
    <mergeCell ref="V5:V6"/>
    <mergeCell ref="AC5:AC6"/>
    <mergeCell ref="AD5:AD6"/>
    <mergeCell ref="AE5:AE6"/>
    <mergeCell ref="W5:W6"/>
    <mergeCell ref="X5:X6"/>
    <mergeCell ref="Y5:Y6"/>
    <mergeCell ref="Z5:Z6"/>
    <mergeCell ref="AV5:AV6"/>
    <mergeCell ref="A11:AI11"/>
    <mergeCell ref="AK5:AK6"/>
    <mergeCell ref="AL5:AL6"/>
    <mergeCell ref="AF5:AF6"/>
    <mergeCell ref="AG5:AG6"/>
    <mergeCell ref="AA5:AA6"/>
    <mergeCell ref="AI5:AI6"/>
    <mergeCell ref="AJ5:AJ6"/>
    <mergeCell ref="AB5:AB6"/>
  </mergeCells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W16"/>
  <sheetViews>
    <sheetView zoomScalePageLayoutView="0" workbookViewId="0" topLeftCell="A1">
      <selection activeCell="H9" sqref="G9:H9"/>
    </sheetView>
  </sheetViews>
  <sheetFormatPr defaultColWidth="9.00390625" defaultRowHeight="14.25"/>
  <cols>
    <col min="1" max="1" width="10.00390625" style="63" customWidth="1"/>
    <col min="2" max="2" width="7.875" style="1" customWidth="1"/>
    <col min="3" max="4" width="7.00390625" style="3" customWidth="1"/>
    <col min="5" max="9" width="6.375" style="3" customWidth="1"/>
    <col min="10" max="12" width="7.00390625" style="3" customWidth="1"/>
    <col min="13" max="14" width="7.125" style="1" customWidth="1"/>
    <col min="15" max="15" width="7.125" style="6" customWidth="1"/>
    <col min="16" max="17" width="7.125" style="7" customWidth="1"/>
    <col min="18" max="18" width="9.875" style="7" customWidth="1"/>
    <col min="19" max="19" width="7.125" style="4" customWidth="1"/>
    <col min="20" max="20" width="9.625" style="4" customWidth="1"/>
    <col min="21" max="21" width="7.25390625" style="4" customWidth="1"/>
    <col min="22" max="22" width="7.25390625" style="7" customWidth="1"/>
    <col min="23" max="23" width="7.625" style="29" customWidth="1"/>
    <col min="24" max="25" width="7.625" style="4" customWidth="1"/>
    <col min="26" max="26" width="6.75390625" style="2" customWidth="1"/>
    <col min="27" max="28" width="6.75390625" style="4" customWidth="1"/>
    <col min="29" max="29" width="6.75390625" style="8" customWidth="1"/>
    <col min="30" max="30" width="7.25390625" style="30" customWidth="1"/>
    <col min="31" max="32" width="7.25390625" style="8" customWidth="1"/>
    <col min="33" max="33" width="7.25390625" style="4" customWidth="1"/>
    <col min="34" max="34" width="7.625" style="4" customWidth="1"/>
    <col min="35" max="35" width="7.625" style="30" customWidth="1"/>
    <col min="36" max="36" width="7.625" style="4" customWidth="1"/>
    <col min="37" max="38" width="7.625" style="8" customWidth="1"/>
    <col min="39" max="49" width="7.625" style="3" customWidth="1"/>
    <col min="50" max="16384" width="9.00390625" style="3" customWidth="1"/>
  </cols>
  <sheetData>
    <row r="1" spans="1:49" s="28" customFormat="1" ht="22.5" customHeight="1">
      <c r="A1" s="136" t="s">
        <v>335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 t="s">
        <v>340</v>
      </c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 t="s">
        <v>340</v>
      </c>
      <c r="AI1" s="136"/>
      <c r="AJ1" s="136"/>
      <c r="AK1" s="136"/>
      <c r="AL1" s="136"/>
      <c r="AM1" s="136"/>
      <c r="AN1" s="136"/>
      <c r="AO1" s="136"/>
      <c r="AP1" s="136"/>
      <c r="AQ1" s="136"/>
      <c r="AR1" s="27"/>
      <c r="AS1" s="27"/>
      <c r="AT1" s="27"/>
      <c r="AU1" s="27"/>
      <c r="AV1" s="27"/>
      <c r="AW1" s="27"/>
    </row>
    <row r="2" spans="1:38" s="4" customFormat="1" ht="15" customHeight="1">
      <c r="A2" s="31" t="s">
        <v>86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51"/>
      <c r="N2" s="51"/>
      <c r="O2" s="51"/>
      <c r="P2" s="51"/>
      <c r="Q2" s="5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9"/>
      <c r="AD2" s="137"/>
      <c r="AE2" s="137"/>
      <c r="AF2" s="137"/>
      <c r="AG2" s="138"/>
      <c r="AH2" s="138"/>
      <c r="AI2" s="137"/>
      <c r="AJ2" s="9"/>
      <c r="AK2" s="10"/>
      <c r="AL2" s="10"/>
    </row>
    <row r="3" spans="1:49" s="11" customFormat="1" ht="17.25" customHeight="1">
      <c r="A3" s="159" t="s">
        <v>87</v>
      </c>
      <c r="B3" s="139" t="s">
        <v>88</v>
      </c>
      <c r="C3" s="123" t="s">
        <v>89</v>
      </c>
      <c r="D3" s="123"/>
      <c r="E3" s="122" t="s">
        <v>90</v>
      </c>
      <c r="F3" s="123"/>
      <c r="G3" s="123"/>
      <c r="H3" s="123"/>
      <c r="I3" s="123"/>
      <c r="J3" s="128"/>
      <c r="K3" s="123" t="s">
        <v>31</v>
      </c>
      <c r="L3" s="123"/>
      <c r="M3" s="122" t="s">
        <v>91</v>
      </c>
      <c r="N3" s="123"/>
      <c r="O3" s="123"/>
      <c r="P3" s="123"/>
      <c r="Q3" s="128"/>
      <c r="R3" s="157" t="s">
        <v>87</v>
      </c>
      <c r="S3" s="122" t="s">
        <v>92</v>
      </c>
      <c r="T3" s="123"/>
      <c r="U3" s="123"/>
      <c r="V3" s="123"/>
      <c r="W3" s="122" t="s">
        <v>93</v>
      </c>
      <c r="X3" s="123"/>
      <c r="Y3" s="123"/>
      <c r="Z3" s="122" t="s">
        <v>94</v>
      </c>
      <c r="AA3" s="123"/>
      <c r="AB3" s="123"/>
      <c r="AC3" s="123"/>
      <c r="AD3" s="122" t="s">
        <v>95</v>
      </c>
      <c r="AE3" s="123"/>
      <c r="AF3" s="123"/>
      <c r="AG3" s="128"/>
      <c r="AH3" s="157" t="s">
        <v>87</v>
      </c>
      <c r="AI3" s="119" t="s">
        <v>96</v>
      </c>
      <c r="AJ3" s="120"/>
      <c r="AK3" s="120"/>
      <c r="AL3" s="120"/>
      <c r="AM3" s="123" t="s">
        <v>22</v>
      </c>
      <c r="AN3" s="123"/>
      <c r="AO3" s="123"/>
      <c r="AP3" s="123"/>
      <c r="AQ3" s="123"/>
      <c r="AR3" s="123"/>
      <c r="AS3" s="123"/>
      <c r="AT3" s="123"/>
      <c r="AU3" s="128"/>
      <c r="AV3" s="151" t="s">
        <v>49</v>
      </c>
      <c r="AW3" s="153" t="s">
        <v>48</v>
      </c>
    </row>
    <row r="4" spans="1:49" s="5" customFormat="1" ht="18" customHeight="1">
      <c r="A4" s="160"/>
      <c r="B4" s="140"/>
      <c r="C4" s="125"/>
      <c r="D4" s="125"/>
      <c r="E4" s="124"/>
      <c r="F4" s="125"/>
      <c r="G4" s="125"/>
      <c r="H4" s="125"/>
      <c r="I4" s="125"/>
      <c r="J4" s="129"/>
      <c r="K4" s="125"/>
      <c r="L4" s="125"/>
      <c r="M4" s="124"/>
      <c r="N4" s="125"/>
      <c r="O4" s="125"/>
      <c r="P4" s="125"/>
      <c r="Q4" s="129"/>
      <c r="R4" s="158"/>
      <c r="S4" s="124"/>
      <c r="T4" s="125"/>
      <c r="U4" s="125"/>
      <c r="V4" s="125"/>
      <c r="W4" s="124"/>
      <c r="X4" s="125"/>
      <c r="Y4" s="125"/>
      <c r="Z4" s="124"/>
      <c r="AA4" s="125"/>
      <c r="AB4" s="125"/>
      <c r="AC4" s="125"/>
      <c r="AD4" s="124"/>
      <c r="AE4" s="125"/>
      <c r="AF4" s="125"/>
      <c r="AG4" s="129"/>
      <c r="AH4" s="158"/>
      <c r="AI4" s="141"/>
      <c r="AJ4" s="142"/>
      <c r="AK4" s="142"/>
      <c r="AL4" s="142"/>
      <c r="AM4" s="125"/>
      <c r="AN4" s="125"/>
      <c r="AO4" s="125"/>
      <c r="AP4" s="125"/>
      <c r="AQ4" s="125"/>
      <c r="AR4" s="125"/>
      <c r="AS4" s="125"/>
      <c r="AT4" s="125"/>
      <c r="AU4" s="129"/>
      <c r="AV4" s="152"/>
      <c r="AW4" s="154"/>
    </row>
    <row r="5" spans="1:49" s="5" customFormat="1" ht="26.25" customHeight="1">
      <c r="A5" s="52"/>
      <c r="B5" s="140"/>
      <c r="C5" s="132" t="s">
        <v>97</v>
      </c>
      <c r="D5" s="126" t="s">
        <v>98</v>
      </c>
      <c r="E5" s="144" t="s">
        <v>99</v>
      </c>
      <c r="F5" s="126" t="s">
        <v>100</v>
      </c>
      <c r="G5" s="144" t="s">
        <v>341</v>
      </c>
      <c r="H5" s="126" t="s">
        <v>101</v>
      </c>
      <c r="I5" s="126" t="s">
        <v>102</v>
      </c>
      <c r="J5" s="126" t="s">
        <v>103</v>
      </c>
      <c r="K5" s="126" t="s">
        <v>104</v>
      </c>
      <c r="L5" s="132" t="s">
        <v>105</v>
      </c>
      <c r="M5" s="149" t="s">
        <v>106</v>
      </c>
      <c r="N5" s="149" t="s">
        <v>107</v>
      </c>
      <c r="O5" s="149" t="s">
        <v>108</v>
      </c>
      <c r="P5" s="149" t="s">
        <v>109</v>
      </c>
      <c r="Q5" s="149" t="s">
        <v>110</v>
      </c>
      <c r="R5" s="52"/>
      <c r="S5" s="126" t="s">
        <v>67</v>
      </c>
      <c r="T5" s="126" t="s">
        <v>68</v>
      </c>
      <c r="U5" s="126" t="s">
        <v>69</v>
      </c>
      <c r="V5" s="145" t="s">
        <v>70</v>
      </c>
      <c r="W5" s="126" t="s">
        <v>71</v>
      </c>
      <c r="X5" s="126" t="s">
        <v>72</v>
      </c>
      <c r="Y5" s="126" t="s">
        <v>73</v>
      </c>
      <c r="Z5" s="126" t="s">
        <v>74</v>
      </c>
      <c r="AA5" s="126" t="s">
        <v>75</v>
      </c>
      <c r="AB5" s="126" t="s">
        <v>76</v>
      </c>
      <c r="AC5" s="147" t="s">
        <v>77</v>
      </c>
      <c r="AD5" s="149" t="s">
        <v>78</v>
      </c>
      <c r="AE5" s="149" t="s">
        <v>75</v>
      </c>
      <c r="AF5" s="149" t="s">
        <v>79</v>
      </c>
      <c r="AG5" s="156" t="s">
        <v>80</v>
      </c>
      <c r="AH5" s="52"/>
      <c r="AI5" s="149" t="s">
        <v>111</v>
      </c>
      <c r="AJ5" s="149" t="s">
        <v>112</v>
      </c>
      <c r="AK5" s="126" t="s">
        <v>113</v>
      </c>
      <c r="AL5" s="126" t="s">
        <v>114</v>
      </c>
      <c r="AM5" s="144" t="s">
        <v>18</v>
      </c>
      <c r="AN5" s="144" t="s">
        <v>19</v>
      </c>
      <c r="AO5" s="144" t="s">
        <v>20</v>
      </c>
      <c r="AP5" s="126" t="s">
        <v>329</v>
      </c>
      <c r="AQ5" s="126" t="s">
        <v>330</v>
      </c>
      <c r="AR5" s="126" t="s">
        <v>331</v>
      </c>
      <c r="AS5" s="126" t="s">
        <v>332</v>
      </c>
      <c r="AT5" s="126" t="s">
        <v>333</v>
      </c>
      <c r="AU5" s="126" t="s">
        <v>334</v>
      </c>
      <c r="AV5" s="144" t="s">
        <v>21</v>
      </c>
      <c r="AW5" s="154"/>
    </row>
    <row r="6" spans="1:49" s="5" customFormat="1" ht="54" customHeight="1">
      <c r="A6" s="53" t="s">
        <v>81</v>
      </c>
      <c r="B6" s="118"/>
      <c r="C6" s="133"/>
      <c r="D6" s="127"/>
      <c r="E6" s="144"/>
      <c r="F6" s="127"/>
      <c r="G6" s="144"/>
      <c r="H6" s="127"/>
      <c r="I6" s="127"/>
      <c r="J6" s="127"/>
      <c r="K6" s="127"/>
      <c r="L6" s="133"/>
      <c r="M6" s="127"/>
      <c r="N6" s="127"/>
      <c r="O6" s="127"/>
      <c r="P6" s="127"/>
      <c r="Q6" s="127"/>
      <c r="R6" s="54" t="s">
        <v>81</v>
      </c>
      <c r="S6" s="127"/>
      <c r="T6" s="127"/>
      <c r="U6" s="127"/>
      <c r="V6" s="146"/>
      <c r="W6" s="127"/>
      <c r="X6" s="127"/>
      <c r="Y6" s="127"/>
      <c r="Z6" s="127"/>
      <c r="AA6" s="127"/>
      <c r="AB6" s="127"/>
      <c r="AC6" s="148"/>
      <c r="AD6" s="127"/>
      <c r="AE6" s="127"/>
      <c r="AF6" s="127"/>
      <c r="AG6" s="148"/>
      <c r="AH6" s="54" t="s">
        <v>81</v>
      </c>
      <c r="AI6" s="127"/>
      <c r="AJ6" s="127"/>
      <c r="AK6" s="127"/>
      <c r="AL6" s="127"/>
      <c r="AM6" s="144"/>
      <c r="AN6" s="144"/>
      <c r="AO6" s="144"/>
      <c r="AP6" s="127"/>
      <c r="AQ6" s="127"/>
      <c r="AR6" s="127"/>
      <c r="AS6" s="127"/>
      <c r="AT6" s="127"/>
      <c r="AU6" s="127"/>
      <c r="AV6" s="144"/>
      <c r="AW6" s="155"/>
    </row>
    <row r="7" spans="1:49" s="17" customFormat="1" ht="29.25" customHeight="1">
      <c r="A7" s="65" t="s">
        <v>115</v>
      </c>
      <c r="B7" s="112">
        <v>16600</v>
      </c>
      <c r="C7" s="12">
        <f>B7*0.75</f>
        <v>12450</v>
      </c>
      <c r="D7" s="12">
        <f>B7*0.75</f>
        <v>12450</v>
      </c>
      <c r="E7" s="13">
        <v>12</v>
      </c>
      <c r="F7" s="13">
        <v>6</v>
      </c>
      <c r="G7" s="13">
        <v>6</v>
      </c>
      <c r="H7" s="13">
        <v>9</v>
      </c>
      <c r="I7" s="13">
        <v>12</v>
      </c>
      <c r="J7" s="14">
        <v>0.8</v>
      </c>
      <c r="K7" s="14">
        <v>0.95</v>
      </c>
      <c r="L7" s="14">
        <v>0.9</v>
      </c>
      <c r="M7" s="114">
        <f>B7*0.0388</f>
        <v>644.08</v>
      </c>
      <c r="N7" s="114">
        <f>B7*0.0056</f>
        <v>92.96</v>
      </c>
      <c r="O7" s="15">
        <f>N7*0.9</f>
        <v>83.664</v>
      </c>
      <c r="P7" s="15">
        <f>M7*0.9</f>
        <v>579.672</v>
      </c>
      <c r="Q7" s="15">
        <f>M7*0.85</f>
        <v>547.4680000000001</v>
      </c>
      <c r="R7" s="65" t="s">
        <v>115</v>
      </c>
      <c r="S7" s="15">
        <f>N7*0.95</f>
        <v>88.31199999999998</v>
      </c>
      <c r="T7" s="15">
        <f>N7*0.9</f>
        <v>83.664</v>
      </c>
      <c r="U7" s="15">
        <f>N7*0.95</f>
        <v>88.31199999999998</v>
      </c>
      <c r="V7" s="15">
        <f>N7*0.85</f>
        <v>79.01599999999999</v>
      </c>
      <c r="W7" s="15">
        <f>B7*0.0882</f>
        <v>1464.1200000000001</v>
      </c>
      <c r="X7" s="15">
        <f>W7*0.7</f>
        <v>1024.884</v>
      </c>
      <c r="Y7" s="15">
        <f>W7*0.7</f>
        <v>1024.884</v>
      </c>
      <c r="Z7" s="15">
        <f>B7*0.52*0.188</f>
        <v>1622.816</v>
      </c>
      <c r="AA7" s="15">
        <f>Z7*0.3</f>
        <v>486.84479999999996</v>
      </c>
      <c r="AB7" s="15">
        <f>AA7*0.35</f>
        <v>170.39567999999997</v>
      </c>
      <c r="AC7" s="12">
        <f>AA7*0.3</f>
        <v>146.05344</v>
      </c>
      <c r="AD7" s="33">
        <f>B7*0.52*0.097</f>
        <v>837.304</v>
      </c>
      <c r="AE7" s="15">
        <f>AD7*0.25</f>
        <v>209.326</v>
      </c>
      <c r="AF7" s="15">
        <f>AE7*0.3</f>
        <v>62.797799999999995</v>
      </c>
      <c r="AG7" s="48">
        <f>AE7*0.2</f>
        <v>41.8652</v>
      </c>
      <c r="AH7" s="65" t="s">
        <v>115</v>
      </c>
      <c r="AI7" s="19">
        <f>B7*8/1000</f>
        <v>132.8</v>
      </c>
      <c r="AJ7" s="15">
        <f>AI7*0.2</f>
        <v>26.560000000000002</v>
      </c>
      <c r="AK7" s="15">
        <f>AI7*0.2</f>
        <v>26.560000000000002</v>
      </c>
      <c r="AL7" s="15">
        <f>AK7*0.6</f>
        <v>15.936</v>
      </c>
      <c r="AM7" s="16">
        <v>1</v>
      </c>
      <c r="AN7" s="16">
        <v>0.95</v>
      </c>
      <c r="AO7" s="16">
        <v>1</v>
      </c>
      <c r="AP7" s="16">
        <v>1</v>
      </c>
      <c r="AQ7" s="16">
        <v>0.95</v>
      </c>
      <c r="AR7" s="16">
        <v>1</v>
      </c>
      <c r="AS7" s="16">
        <v>0.8</v>
      </c>
      <c r="AT7" s="16">
        <v>0.85</v>
      </c>
      <c r="AU7" s="16">
        <v>0.85</v>
      </c>
      <c r="AV7" s="16">
        <v>0.95</v>
      </c>
      <c r="AW7" s="16">
        <v>0.8</v>
      </c>
    </row>
    <row r="8" spans="1:49" s="17" customFormat="1" ht="29.25" customHeight="1">
      <c r="A8" s="67" t="s">
        <v>116</v>
      </c>
      <c r="B8" s="113">
        <v>16900</v>
      </c>
      <c r="C8" s="12">
        <f>B8*0.75</f>
        <v>12675</v>
      </c>
      <c r="D8" s="12">
        <f>B8*0.75</f>
        <v>12675</v>
      </c>
      <c r="E8" s="13">
        <v>12</v>
      </c>
      <c r="F8" s="13">
        <v>6</v>
      </c>
      <c r="G8" s="13">
        <v>6</v>
      </c>
      <c r="H8" s="13">
        <v>9</v>
      </c>
      <c r="I8" s="13">
        <v>12</v>
      </c>
      <c r="J8" s="14">
        <v>0.8</v>
      </c>
      <c r="K8" s="14">
        <v>0.95</v>
      </c>
      <c r="L8" s="14">
        <v>0.9</v>
      </c>
      <c r="M8" s="114">
        <f>B8*0.0388</f>
        <v>655.72</v>
      </c>
      <c r="N8" s="114">
        <f>B8*0.0056</f>
        <v>94.64</v>
      </c>
      <c r="O8" s="15">
        <f>N8*0.9</f>
        <v>85.176</v>
      </c>
      <c r="P8" s="15">
        <f>M8*0.9</f>
        <v>590.148</v>
      </c>
      <c r="Q8" s="15">
        <f>M8*0.85</f>
        <v>557.362</v>
      </c>
      <c r="R8" s="67" t="s">
        <v>116</v>
      </c>
      <c r="S8" s="15">
        <f>N8*0.95</f>
        <v>89.908</v>
      </c>
      <c r="T8" s="15">
        <f>N8*0.9</f>
        <v>85.176</v>
      </c>
      <c r="U8" s="15">
        <f>N8*0.95</f>
        <v>89.908</v>
      </c>
      <c r="V8" s="15">
        <f>N8*0.85</f>
        <v>80.444</v>
      </c>
      <c r="W8" s="15">
        <f>B8*0.0882</f>
        <v>1490.58</v>
      </c>
      <c r="X8" s="15">
        <f>W8*0.7</f>
        <v>1043.406</v>
      </c>
      <c r="Y8" s="15">
        <f>W8*0.7</f>
        <v>1043.406</v>
      </c>
      <c r="Z8" s="15">
        <f>B8*0.52*0.188</f>
        <v>1652.144</v>
      </c>
      <c r="AA8" s="15">
        <f>Z8*0.3</f>
        <v>495.6432</v>
      </c>
      <c r="AB8" s="15">
        <f>AA8*0.35</f>
        <v>173.47511999999998</v>
      </c>
      <c r="AC8" s="12">
        <f>AA8*0.3</f>
        <v>148.69296</v>
      </c>
      <c r="AD8" s="33">
        <f>B8*0.52*0.097</f>
        <v>852.436</v>
      </c>
      <c r="AE8" s="15">
        <f>AD8*0.25</f>
        <v>213.109</v>
      </c>
      <c r="AF8" s="15">
        <f>AE8*0.3</f>
        <v>63.9327</v>
      </c>
      <c r="AG8" s="48">
        <f>AE8*0.2</f>
        <v>42.62180000000001</v>
      </c>
      <c r="AH8" s="67" t="s">
        <v>116</v>
      </c>
      <c r="AI8" s="19">
        <f>B8*8/1000</f>
        <v>135.2</v>
      </c>
      <c r="AJ8" s="15">
        <f>AI8*0.2</f>
        <v>27.04</v>
      </c>
      <c r="AK8" s="15">
        <f>AI8*0.2</f>
        <v>27.04</v>
      </c>
      <c r="AL8" s="15">
        <f>AK8*0.6</f>
        <v>16.224</v>
      </c>
      <c r="AM8" s="49">
        <v>1</v>
      </c>
      <c r="AN8" s="16">
        <v>0.95</v>
      </c>
      <c r="AO8" s="49">
        <v>1</v>
      </c>
      <c r="AP8" s="16">
        <v>1</v>
      </c>
      <c r="AQ8" s="16">
        <v>0.95</v>
      </c>
      <c r="AR8" s="16">
        <v>1</v>
      </c>
      <c r="AS8" s="16">
        <v>0.8</v>
      </c>
      <c r="AT8" s="16">
        <v>0.85</v>
      </c>
      <c r="AU8" s="16">
        <v>0.85</v>
      </c>
      <c r="AV8" s="49">
        <v>0.95</v>
      </c>
      <c r="AW8" s="49">
        <v>0.8</v>
      </c>
    </row>
    <row r="9" spans="1:49" s="23" customFormat="1" ht="29.25" customHeight="1">
      <c r="A9" s="62" t="s">
        <v>150</v>
      </c>
      <c r="B9" s="18">
        <f>SUM(B7:B8)</f>
        <v>33500</v>
      </c>
      <c r="C9" s="18">
        <f>SUM(C7:C8)</f>
        <v>25125</v>
      </c>
      <c r="D9" s="19">
        <f>SUM(D7:D8)</f>
        <v>25125</v>
      </c>
      <c r="E9" s="18">
        <v>12</v>
      </c>
      <c r="F9" s="18">
        <v>6</v>
      </c>
      <c r="G9" s="18">
        <f>SUM(G7:G8)</f>
        <v>12</v>
      </c>
      <c r="H9" s="18">
        <f>SUM(H7:H8)</f>
        <v>18</v>
      </c>
      <c r="I9" s="18">
        <f>SUM(I7:I8)</f>
        <v>24</v>
      </c>
      <c r="J9" s="20">
        <v>0.8</v>
      </c>
      <c r="K9" s="20">
        <v>0.95</v>
      </c>
      <c r="L9" s="20">
        <v>0.9</v>
      </c>
      <c r="M9" s="19">
        <f>SUM(M7:M8)</f>
        <v>1299.8000000000002</v>
      </c>
      <c r="N9" s="19">
        <f>SUM(N7:N8)</f>
        <v>187.6</v>
      </c>
      <c r="O9" s="19">
        <f>SUM(O7:O8)</f>
        <v>168.84</v>
      </c>
      <c r="P9" s="19">
        <f>SUM(P7:P8)</f>
        <v>1169.8200000000002</v>
      </c>
      <c r="Q9" s="19">
        <f>SUM(Q7:Q8)</f>
        <v>1104.83</v>
      </c>
      <c r="R9" s="62" t="s">
        <v>150</v>
      </c>
      <c r="S9" s="19">
        <f aca="true" t="shared" si="0" ref="S9:AG9">SUM(S7:S8)</f>
        <v>178.21999999999997</v>
      </c>
      <c r="T9" s="19">
        <f t="shared" si="0"/>
        <v>168.84</v>
      </c>
      <c r="U9" s="19">
        <f t="shared" si="0"/>
        <v>178.21999999999997</v>
      </c>
      <c r="V9" s="19">
        <f t="shared" si="0"/>
        <v>159.45999999999998</v>
      </c>
      <c r="W9" s="19">
        <f t="shared" si="0"/>
        <v>2954.7</v>
      </c>
      <c r="X9" s="19">
        <f t="shared" si="0"/>
        <v>2068.29</v>
      </c>
      <c r="Y9" s="19">
        <f t="shared" si="0"/>
        <v>2068.29</v>
      </c>
      <c r="Z9" s="19">
        <f t="shared" si="0"/>
        <v>3274.96</v>
      </c>
      <c r="AA9" s="19">
        <f t="shared" si="0"/>
        <v>982.4879999999999</v>
      </c>
      <c r="AB9" s="19">
        <f t="shared" si="0"/>
        <v>343.8707999999999</v>
      </c>
      <c r="AC9" s="22">
        <f t="shared" si="0"/>
        <v>294.7464</v>
      </c>
      <c r="AD9" s="19">
        <f t="shared" si="0"/>
        <v>1689.74</v>
      </c>
      <c r="AE9" s="19">
        <f t="shared" si="0"/>
        <v>422.435</v>
      </c>
      <c r="AF9" s="22">
        <f t="shared" si="0"/>
        <v>126.73049999999999</v>
      </c>
      <c r="AG9" s="22">
        <f t="shared" si="0"/>
        <v>84.48700000000001</v>
      </c>
      <c r="AH9" s="62" t="s">
        <v>150</v>
      </c>
      <c r="AI9" s="22">
        <f>SUM(AI7:AI8)</f>
        <v>268</v>
      </c>
      <c r="AJ9" s="22">
        <f>SUM(AJ7:AJ8)</f>
        <v>53.6</v>
      </c>
      <c r="AK9" s="22">
        <f>SUM(AK7:AK8)</f>
        <v>53.6</v>
      </c>
      <c r="AL9" s="22">
        <f>SUM(AL7:AL8)</f>
        <v>32.16</v>
      </c>
      <c r="AM9" s="49">
        <v>1</v>
      </c>
      <c r="AN9" s="16">
        <v>0.95</v>
      </c>
      <c r="AO9" s="49">
        <v>1</v>
      </c>
      <c r="AP9" s="16">
        <v>1</v>
      </c>
      <c r="AQ9" s="16">
        <v>0.95</v>
      </c>
      <c r="AR9" s="16">
        <v>1</v>
      </c>
      <c r="AS9" s="16">
        <v>0.8</v>
      </c>
      <c r="AT9" s="16">
        <v>0.85</v>
      </c>
      <c r="AU9" s="16">
        <v>0.85</v>
      </c>
      <c r="AV9" s="49">
        <v>0.95</v>
      </c>
      <c r="AW9" s="49">
        <v>0.8</v>
      </c>
    </row>
    <row r="10" spans="1:49" s="26" customFormat="1" ht="29.25" customHeight="1">
      <c r="A10" s="150" t="s">
        <v>151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24"/>
      <c r="AK10" s="24"/>
      <c r="AL10" s="24"/>
      <c r="AM10" s="104"/>
      <c r="AN10" s="105"/>
      <c r="AO10" s="104"/>
      <c r="AP10" s="105"/>
      <c r="AQ10" s="105"/>
      <c r="AR10" s="105"/>
      <c r="AS10" s="105"/>
      <c r="AT10" s="105"/>
      <c r="AU10" s="105"/>
      <c r="AV10" s="104"/>
      <c r="AW10" s="104"/>
    </row>
    <row r="11" spans="12:49" ht="14.25">
      <c r="L11" s="64"/>
      <c r="AM11" s="106"/>
      <c r="AN11" s="107"/>
      <c r="AO11" s="106"/>
      <c r="AP11" s="107"/>
      <c r="AQ11" s="107"/>
      <c r="AR11" s="107"/>
      <c r="AS11" s="107"/>
      <c r="AT11" s="107"/>
      <c r="AU11" s="107"/>
      <c r="AV11" s="106"/>
      <c r="AW11" s="106"/>
    </row>
    <row r="12" spans="12:49" ht="14.25">
      <c r="L12" s="64"/>
      <c r="AM12" s="106"/>
      <c r="AN12" s="107"/>
      <c r="AO12" s="106"/>
      <c r="AP12" s="107"/>
      <c r="AQ12" s="107"/>
      <c r="AR12" s="107"/>
      <c r="AS12" s="107"/>
      <c r="AT12" s="107"/>
      <c r="AU12" s="107"/>
      <c r="AV12" s="106"/>
      <c r="AW12" s="106"/>
    </row>
    <row r="13" spans="39:49" ht="14.25">
      <c r="AM13" s="106"/>
      <c r="AN13" s="107"/>
      <c r="AO13" s="106"/>
      <c r="AP13" s="107"/>
      <c r="AQ13" s="107"/>
      <c r="AR13" s="107"/>
      <c r="AS13" s="107"/>
      <c r="AT13" s="107"/>
      <c r="AU13" s="107"/>
      <c r="AV13" s="106"/>
      <c r="AW13" s="106"/>
    </row>
    <row r="14" spans="39:49" ht="14.25">
      <c r="AM14" s="106"/>
      <c r="AN14" s="107"/>
      <c r="AO14" s="106"/>
      <c r="AP14" s="107"/>
      <c r="AQ14" s="107"/>
      <c r="AR14" s="107"/>
      <c r="AS14" s="107"/>
      <c r="AT14" s="107"/>
      <c r="AU14" s="107"/>
      <c r="AV14" s="106"/>
      <c r="AW14" s="106"/>
    </row>
    <row r="15" spans="39:49" ht="14.25">
      <c r="AM15" s="106"/>
      <c r="AN15" s="107"/>
      <c r="AO15" s="106"/>
      <c r="AP15" s="107"/>
      <c r="AQ15" s="107"/>
      <c r="AR15" s="107"/>
      <c r="AS15" s="107"/>
      <c r="AT15" s="107"/>
      <c r="AU15" s="107"/>
      <c r="AV15" s="106"/>
      <c r="AW15" s="106"/>
    </row>
    <row r="16" spans="39:49" ht="14.25"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</row>
  </sheetData>
  <sheetProtection/>
  <mergeCells count="65">
    <mergeCell ref="A10:AI10"/>
    <mergeCell ref="AL5:AL6"/>
    <mergeCell ref="AG5:AG6"/>
    <mergeCell ref="AI5:AI6"/>
    <mergeCell ref="AJ5:AJ6"/>
    <mergeCell ref="AA5:AA6"/>
    <mergeCell ref="AB5:AB6"/>
    <mergeCell ref="AK5:AK6"/>
    <mergeCell ref="AC5:AC6"/>
    <mergeCell ref="AD5:AD6"/>
    <mergeCell ref="AE5:AE6"/>
    <mergeCell ref="AF5:AF6"/>
    <mergeCell ref="W5:W6"/>
    <mergeCell ref="X5:X6"/>
    <mergeCell ref="Y5:Y6"/>
    <mergeCell ref="Z5:Z6"/>
    <mergeCell ref="S5:S6"/>
    <mergeCell ref="T5:T6"/>
    <mergeCell ref="U5:U6"/>
    <mergeCell ref="V5:V6"/>
    <mergeCell ref="AI3:AL4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W3:Y4"/>
    <mergeCell ref="Z3:AC4"/>
    <mergeCell ref="AD3:AG4"/>
    <mergeCell ref="AH3:AH4"/>
    <mergeCell ref="K3:L4"/>
    <mergeCell ref="M3:Q4"/>
    <mergeCell ref="R3:R4"/>
    <mergeCell ref="S3:V4"/>
    <mergeCell ref="E3:J4"/>
    <mergeCell ref="C5:C6"/>
    <mergeCell ref="D5:D6"/>
    <mergeCell ref="E5:E6"/>
    <mergeCell ref="F5:F6"/>
    <mergeCell ref="G5:G6"/>
    <mergeCell ref="H5:H6"/>
    <mergeCell ref="AS5:AS6"/>
    <mergeCell ref="AT5:AT6"/>
    <mergeCell ref="AU5:AU6"/>
    <mergeCell ref="A1:Q1"/>
    <mergeCell ref="R1:AG1"/>
    <mergeCell ref="AH1:AQ1"/>
    <mergeCell ref="AD2:AI2"/>
    <mergeCell ref="A3:A4"/>
    <mergeCell ref="B3:B6"/>
    <mergeCell ref="C3:D4"/>
    <mergeCell ref="AV5:AV6"/>
    <mergeCell ref="AM3:AU4"/>
    <mergeCell ref="AV3:AV4"/>
    <mergeCell ref="AW3:AW6"/>
    <mergeCell ref="AM5:AM6"/>
    <mergeCell ref="AN5:AN6"/>
    <mergeCell ref="AO5:AO6"/>
    <mergeCell ref="AP5:AP6"/>
    <mergeCell ref="AQ5:AQ6"/>
    <mergeCell ref="AR5:AR6"/>
  </mergeCells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BB13"/>
  <sheetViews>
    <sheetView zoomScaleSheetLayoutView="100" zoomScalePageLayoutView="0" workbookViewId="0" topLeftCell="A1">
      <pane xSplit="21000" topLeftCell="BG1" activePane="topLeft" state="split"/>
      <selection pane="topLeft" activeCell="H10" sqref="G10:H10"/>
      <selection pane="topRight" activeCell="AS1" sqref="AS1:BL1"/>
    </sheetView>
  </sheetViews>
  <sheetFormatPr defaultColWidth="9.00390625" defaultRowHeight="14.25"/>
  <cols>
    <col min="1" max="1" width="10.00390625" style="63" customWidth="1"/>
    <col min="2" max="2" width="7.875" style="1" customWidth="1"/>
    <col min="3" max="4" width="7.00390625" style="3" customWidth="1"/>
    <col min="5" max="9" width="6.375" style="3" customWidth="1"/>
    <col min="10" max="12" width="7.00390625" style="3" customWidth="1"/>
    <col min="13" max="14" width="7.625" style="1" customWidth="1"/>
    <col min="15" max="15" width="7.625" style="6" customWidth="1"/>
    <col min="16" max="17" width="7.625" style="7" customWidth="1"/>
    <col min="18" max="18" width="9.875" style="7" customWidth="1"/>
    <col min="19" max="19" width="7.125" style="4" customWidth="1"/>
    <col min="20" max="20" width="9.625" style="4" customWidth="1"/>
    <col min="21" max="21" width="7.25390625" style="4" customWidth="1"/>
    <col min="22" max="22" width="7.25390625" style="7" customWidth="1"/>
    <col min="23" max="23" width="7.625" style="29" customWidth="1"/>
    <col min="24" max="25" width="7.625" style="4" customWidth="1"/>
    <col min="26" max="26" width="6.75390625" style="2" customWidth="1"/>
    <col min="27" max="28" width="6.75390625" style="4" customWidth="1"/>
    <col min="29" max="29" width="6.75390625" style="8" customWidth="1"/>
    <col min="30" max="30" width="7.25390625" style="30" customWidth="1"/>
    <col min="31" max="32" width="7.25390625" style="8" customWidth="1"/>
    <col min="33" max="33" width="7.25390625" style="4" customWidth="1"/>
    <col min="34" max="34" width="10.625" style="4" customWidth="1"/>
    <col min="35" max="35" width="8.25390625" style="30" customWidth="1"/>
    <col min="36" max="36" width="8.25390625" style="4" customWidth="1"/>
    <col min="37" max="38" width="8.25390625" style="8" customWidth="1"/>
    <col min="39" max="49" width="8.25390625" style="3" customWidth="1"/>
    <col min="50" max="16384" width="9.00390625" style="3" customWidth="1"/>
  </cols>
  <sheetData>
    <row r="1" spans="1:51" s="28" customFormat="1" ht="22.5" customHeight="1">
      <c r="A1" s="136" t="s">
        <v>335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 t="s">
        <v>340</v>
      </c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 t="s">
        <v>335</v>
      </c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27"/>
      <c r="AY1" s="27"/>
    </row>
    <row r="2" spans="1:38" s="4" customFormat="1" ht="15" customHeight="1">
      <c r="A2" s="31" t="s">
        <v>117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51"/>
      <c r="N2" s="51"/>
      <c r="O2" s="51"/>
      <c r="P2" s="51"/>
      <c r="Q2" s="5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9"/>
      <c r="AD2" s="137"/>
      <c r="AE2" s="137"/>
      <c r="AF2" s="137"/>
      <c r="AG2" s="138"/>
      <c r="AH2" s="138"/>
      <c r="AI2" s="137"/>
      <c r="AJ2" s="9"/>
      <c r="AK2" s="10"/>
      <c r="AL2" s="10"/>
    </row>
    <row r="3" spans="1:54" s="11" customFormat="1" ht="17.25" customHeight="1">
      <c r="A3" s="159" t="s">
        <v>118</v>
      </c>
      <c r="B3" s="139" t="s">
        <v>119</v>
      </c>
      <c r="C3" s="123" t="s">
        <v>120</v>
      </c>
      <c r="D3" s="123"/>
      <c r="E3" s="122" t="s">
        <v>121</v>
      </c>
      <c r="F3" s="123"/>
      <c r="G3" s="123"/>
      <c r="H3" s="123"/>
      <c r="I3" s="123"/>
      <c r="J3" s="128"/>
      <c r="K3" s="123" t="s">
        <v>31</v>
      </c>
      <c r="L3" s="123"/>
      <c r="M3" s="122" t="s">
        <v>122</v>
      </c>
      <c r="N3" s="123"/>
      <c r="O3" s="123"/>
      <c r="P3" s="123"/>
      <c r="Q3" s="128"/>
      <c r="R3" s="157" t="s">
        <v>118</v>
      </c>
      <c r="S3" s="122" t="s">
        <v>123</v>
      </c>
      <c r="T3" s="123"/>
      <c r="U3" s="123"/>
      <c r="V3" s="123"/>
      <c r="W3" s="122" t="s">
        <v>124</v>
      </c>
      <c r="X3" s="123"/>
      <c r="Y3" s="123"/>
      <c r="Z3" s="122" t="s">
        <v>125</v>
      </c>
      <c r="AA3" s="123"/>
      <c r="AB3" s="123"/>
      <c r="AC3" s="123"/>
      <c r="AD3" s="122" t="s">
        <v>126</v>
      </c>
      <c r="AE3" s="123"/>
      <c r="AF3" s="123"/>
      <c r="AG3" s="128"/>
      <c r="AH3" s="157" t="s">
        <v>118</v>
      </c>
      <c r="AI3" s="119" t="s">
        <v>127</v>
      </c>
      <c r="AJ3" s="120"/>
      <c r="AK3" s="120"/>
      <c r="AL3" s="120"/>
      <c r="AM3" s="123" t="s">
        <v>22</v>
      </c>
      <c r="AN3" s="123"/>
      <c r="AO3" s="123"/>
      <c r="AP3" s="123"/>
      <c r="AQ3" s="123"/>
      <c r="AR3" s="123"/>
      <c r="AS3" s="123"/>
      <c r="AT3" s="123"/>
      <c r="AU3" s="128"/>
      <c r="AV3" s="151" t="s">
        <v>49</v>
      </c>
      <c r="AW3" s="153" t="s">
        <v>48</v>
      </c>
      <c r="AX3" s="161"/>
      <c r="AY3" s="161"/>
      <c r="AZ3" s="161"/>
      <c r="BA3" s="161"/>
      <c r="BB3" s="161"/>
    </row>
    <row r="4" spans="1:54" s="5" customFormat="1" ht="14.25" customHeight="1">
      <c r="A4" s="160"/>
      <c r="B4" s="140"/>
      <c r="C4" s="125"/>
      <c r="D4" s="125"/>
      <c r="E4" s="124"/>
      <c r="F4" s="125"/>
      <c r="G4" s="125"/>
      <c r="H4" s="125"/>
      <c r="I4" s="125"/>
      <c r="J4" s="129"/>
      <c r="K4" s="125"/>
      <c r="L4" s="125"/>
      <c r="M4" s="124"/>
      <c r="N4" s="125"/>
      <c r="O4" s="125"/>
      <c r="P4" s="125"/>
      <c r="Q4" s="129"/>
      <c r="R4" s="158"/>
      <c r="S4" s="124"/>
      <c r="T4" s="125"/>
      <c r="U4" s="125"/>
      <c r="V4" s="125"/>
      <c r="W4" s="124"/>
      <c r="X4" s="125"/>
      <c r="Y4" s="125"/>
      <c r="Z4" s="124"/>
      <c r="AA4" s="125"/>
      <c r="AB4" s="125"/>
      <c r="AC4" s="125"/>
      <c r="AD4" s="124"/>
      <c r="AE4" s="125"/>
      <c r="AF4" s="125"/>
      <c r="AG4" s="129"/>
      <c r="AH4" s="158"/>
      <c r="AI4" s="141"/>
      <c r="AJ4" s="142"/>
      <c r="AK4" s="142"/>
      <c r="AL4" s="142"/>
      <c r="AM4" s="125"/>
      <c r="AN4" s="125"/>
      <c r="AO4" s="125"/>
      <c r="AP4" s="125"/>
      <c r="AQ4" s="125"/>
      <c r="AR4" s="125"/>
      <c r="AS4" s="125"/>
      <c r="AT4" s="125"/>
      <c r="AU4" s="129"/>
      <c r="AV4" s="152"/>
      <c r="AW4" s="154"/>
      <c r="AX4" s="161"/>
      <c r="AY4" s="161"/>
      <c r="AZ4" s="161"/>
      <c r="BA4" s="161"/>
      <c r="BB4" s="161"/>
    </row>
    <row r="5" spans="1:54" s="5" customFormat="1" ht="26.25" customHeight="1">
      <c r="A5" s="52"/>
      <c r="B5" s="140"/>
      <c r="C5" s="132" t="s">
        <v>128</v>
      </c>
      <c r="D5" s="126" t="s">
        <v>129</v>
      </c>
      <c r="E5" s="144" t="s">
        <v>130</v>
      </c>
      <c r="F5" s="126" t="s">
        <v>131</v>
      </c>
      <c r="G5" s="144" t="s">
        <v>341</v>
      </c>
      <c r="H5" s="126" t="s">
        <v>132</v>
      </c>
      <c r="I5" s="126" t="s">
        <v>133</v>
      </c>
      <c r="J5" s="126" t="s">
        <v>134</v>
      </c>
      <c r="K5" s="126" t="s">
        <v>135</v>
      </c>
      <c r="L5" s="132" t="s">
        <v>136</v>
      </c>
      <c r="M5" s="149" t="s">
        <v>137</v>
      </c>
      <c r="N5" s="149" t="s">
        <v>138</v>
      </c>
      <c r="O5" s="149" t="s">
        <v>139</v>
      </c>
      <c r="P5" s="149" t="s">
        <v>140</v>
      </c>
      <c r="Q5" s="149" t="s">
        <v>141</v>
      </c>
      <c r="R5" s="52"/>
      <c r="S5" s="126" t="s">
        <v>67</v>
      </c>
      <c r="T5" s="126" t="s">
        <v>68</v>
      </c>
      <c r="U5" s="126" t="s">
        <v>69</v>
      </c>
      <c r="V5" s="145" t="s">
        <v>70</v>
      </c>
      <c r="W5" s="126" t="s">
        <v>71</v>
      </c>
      <c r="X5" s="126" t="s">
        <v>72</v>
      </c>
      <c r="Y5" s="126" t="s">
        <v>73</v>
      </c>
      <c r="Z5" s="126" t="s">
        <v>74</v>
      </c>
      <c r="AA5" s="126" t="s">
        <v>75</v>
      </c>
      <c r="AB5" s="126" t="s">
        <v>76</v>
      </c>
      <c r="AC5" s="147" t="s">
        <v>77</v>
      </c>
      <c r="AD5" s="149" t="s">
        <v>78</v>
      </c>
      <c r="AE5" s="149" t="s">
        <v>75</v>
      </c>
      <c r="AF5" s="149" t="s">
        <v>79</v>
      </c>
      <c r="AG5" s="156" t="s">
        <v>80</v>
      </c>
      <c r="AH5" s="52"/>
      <c r="AI5" s="149" t="s">
        <v>142</v>
      </c>
      <c r="AJ5" s="149" t="s">
        <v>143</v>
      </c>
      <c r="AK5" s="126" t="s">
        <v>144</v>
      </c>
      <c r="AL5" s="132" t="s">
        <v>145</v>
      </c>
      <c r="AM5" s="144" t="s">
        <v>18</v>
      </c>
      <c r="AN5" s="144" t="s">
        <v>19</v>
      </c>
      <c r="AO5" s="144" t="s">
        <v>20</v>
      </c>
      <c r="AP5" s="126" t="s">
        <v>329</v>
      </c>
      <c r="AQ5" s="126" t="s">
        <v>330</v>
      </c>
      <c r="AR5" s="126" t="s">
        <v>331</v>
      </c>
      <c r="AS5" s="126" t="s">
        <v>332</v>
      </c>
      <c r="AT5" s="126" t="s">
        <v>333</v>
      </c>
      <c r="AU5" s="126" t="s">
        <v>334</v>
      </c>
      <c r="AV5" s="144" t="s">
        <v>21</v>
      </c>
      <c r="AW5" s="154"/>
      <c r="AX5" s="162"/>
      <c r="AY5" s="162"/>
      <c r="AZ5" s="162"/>
      <c r="BA5" s="162"/>
      <c r="BB5" s="162"/>
    </row>
    <row r="6" spans="1:54" s="5" customFormat="1" ht="54" customHeight="1">
      <c r="A6" s="53" t="s">
        <v>81</v>
      </c>
      <c r="B6" s="118"/>
      <c r="C6" s="133"/>
      <c r="D6" s="127"/>
      <c r="E6" s="144"/>
      <c r="F6" s="127"/>
      <c r="G6" s="144"/>
      <c r="H6" s="127"/>
      <c r="I6" s="127"/>
      <c r="J6" s="127"/>
      <c r="K6" s="127"/>
      <c r="L6" s="133"/>
      <c r="M6" s="127"/>
      <c r="N6" s="127"/>
      <c r="O6" s="127"/>
      <c r="P6" s="127"/>
      <c r="Q6" s="127"/>
      <c r="R6" s="54" t="s">
        <v>81</v>
      </c>
      <c r="S6" s="127"/>
      <c r="T6" s="127"/>
      <c r="U6" s="127"/>
      <c r="V6" s="146"/>
      <c r="W6" s="127"/>
      <c r="X6" s="127"/>
      <c r="Y6" s="127"/>
      <c r="Z6" s="127"/>
      <c r="AA6" s="127"/>
      <c r="AB6" s="127"/>
      <c r="AC6" s="148"/>
      <c r="AD6" s="127"/>
      <c r="AE6" s="127"/>
      <c r="AF6" s="127"/>
      <c r="AG6" s="148"/>
      <c r="AH6" s="54" t="s">
        <v>81</v>
      </c>
      <c r="AI6" s="127"/>
      <c r="AJ6" s="127"/>
      <c r="AK6" s="127"/>
      <c r="AL6" s="133"/>
      <c r="AM6" s="144"/>
      <c r="AN6" s="144"/>
      <c r="AO6" s="144"/>
      <c r="AP6" s="127"/>
      <c r="AQ6" s="127"/>
      <c r="AR6" s="127"/>
      <c r="AS6" s="127"/>
      <c r="AT6" s="127"/>
      <c r="AU6" s="127"/>
      <c r="AV6" s="144"/>
      <c r="AW6" s="155"/>
      <c r="AX6" s="162"/>
      <c r="AY6" s="162"/>
      <c r="AZ6" s="162"/>
      <c r="BA6" s="162"/>
      <c r="BB6" s="162"/>
    </row>
    <row r="7" spans="1:54" s="17" customFormat="1" ht="29.25" customHeight="1">
      <c r="A7" s="65" t="s">
        <v>146</v>
      </c>
      <c r="B7" s="115">
        <v>19990</v>
      </c>
      <c r="C7" s="12">
        <f>B7*0.75</f>
        <v>14992.5</v>
      </c>
      <c r="D7" s="12">
        <f>B7*0.75</f>
        <v>14992.5</v>
      </c>
      <c r="E7" s="13">
        <v>12</v>
      </c>
      <c r="F7" s="13">
        <v>6</v>
      </c>
      <c r="G7" s="13">
        <v>6</v>
      </c>
      <c r="H7" s="13">
        <v>9</v>
      </c>
      <c r="I7" s="13">
        <v>12</v>
      </c>
      <c r="J7" s="14">
        <v>0.8</v>
      </c>
      <c r="K7" s="14">
        <v>0.95</v>
      </c>
      <c r="L7" s="14">
        <v>0.9</v>
      </c>
      <c r="M7" s="114">
        <f>B7*0.055</f>
        <v>1099.45</v>
      </c>
      <c r="N7" s="114">
        <f>B7*0.0085</f>
        <v>169.91500000000002</v>
      </c>
      <c r="O7" s="15">
        <f>N7*0.9</f>
        <v>152.92350000000002</v>
      </c>
      <c r="P7" s="15">
        <f>M7*0.9</f>
        <v>989.5050000000001</v>
      </c>
      <c r="Q7" s="15">
        <f>M7*0.85</f>
        <v>934.5325</v>
      </c>
      <c r="R7" s="65" t="s">
        <v>146</v>
      </c>
      <c r="S7" s="15">
        <f>N7*0.95</f>
        <v>161.41925</v>
      </c>
      <c r="T7" s="15">
        <f>N7*0.9</f>
        <v>152.92350000000002</v>
      </c>
      <c r="U7" s="15">
        <f>N7*0.95</f>
        <v>161.41925</v>
      </c>
      <c r="V7" s="15">
        <f>N7*0.85</f>
        <v>144.42775</v>
      </c>
      <c r="W7" s="15">
        <f>B7*0.0882</f>
        <v>1763.118</v>
      </c>
      <c r="X7" s="15">
        <f>W7*0.7</f>
        <v>1234.1825999999999</v>
      </c>
      <c r="Y7" s="15">
        <f>W7*0.7</f>
        <v>1234.1825999999999</v>
      </c>
      <c r="Z7" s="15">
        <f>B7*0.52*0.188</f>
        <v>1954.2224</v>
      </c>
      <c r="AA7" s="15">
        <f>Z7*0.3</f>
        <v>586.26672</v>
      </c>
      <c r="AB7" s="15">
        <f>AA7*0.35</f>
        <v>205.19335199999998</v>
      </c>
      <c r="AC7" s="12">
        <f>AA7*0.3</f>
        <v>175.88001599999998</v>
      </c>
      <c r="AD7" s="33">
        <f>B7*0.52*0.097</f>
        <v>1008.2956000000001</v>
      </c>
      <c r="AE7" s="15">
        <f>AD7*0.25</f>
        <v>252.07390000000004</v>
      </c>
      <c r="AF7" s="15">
        <f>AE7*0.3</f>
        <v>75.62217000000001</v>
      </c>
      <c r="AG7" s="48">
        <f>AE7*0.2</f>
        <v>50.41478000000001</v>
      </c>
      <c r="AH7" s="65" t="s">
        <v>146</v>
      </c>
      <c r="AI7" s="19">
        <f>B7*8/1000</f>
        <v>159.92</v>
      </c>
      <c r="AJ7" s="15">
        <f>AI7*0.2</f>
        <v>31.983999999999998</v>
      </c>
      <c r="AK7" s="15">
        <f>AI7*0.2</f>
        <v>31.983999999999998</v>
      </c>
      <c r="AL7" s="110">
        <f>AK7*0.6</f>
        <v>19.190399999999997</v>
      </c>
      <c r="AM7" s="16">
        <v>1</v>
      </c>
      <c r="AN7" s="16">
        <v>0.95</v>
      </c>
      <c r="AO7" s="16">
        <v>1</v>
      </c>
      <c r="AP7" s="16">
        <v>1</v>
      </c>
      <c r="AQ7" s="16">
        <v>0.95</v>
      </c>
      <c r="AR7" s="16">
        <v>1</v>
      </c>
      <c r="AS7" s="16">
        <v>0.8</v>
      </c>
      <c r="AT7" s="16">
        <v>0.85</v>
      </c>
      <c r="AU7" s="16">
        <v>0.85</v>
      </c>
      <c r="AV7" s="16">
        <v>0.95</v>
      </c>
      <c r="AW7" s="16">
        <v>0.8</v>
      </c>
      <c r="AX7" s="107"/>
      <c r="AY7" s="107"/>
      <c r="AZ7" s="107"/>
      <c r="BA7" s="107"/>
      <c r="BB7" s="107"/>
    </row>
    <row r="8" spans="1:54" s="17" customFormat="1" ht="29.25" customHeight="1">
      <c r="A8" s="67" t="s">
        <v>147</v>
      </c>
      <c r="B8" s="116">
        <v>22696</v>
      </c>
      <c r="C8" s="12">
        <f>B8*0.75</f>
        <v>17022</v>
      </c>
      <c r="D8" s="12">
        <f>B8*0.75</f>
        <v>17022</v>
      </c>
      <c r="E8" s="13">
        <v>12</v>
      </c>
      <c r="F8" s="13">
        <v>6</v>
      </c>
      <c r="G8" s="13">
        <v>6</v>
      </c>
      <c r="H8" s="13">
        <v>9</v>
      </c>
      <c r="I8" s="13">
        <v>12</v>
      </c>
      <c r="J8" s="14">
        <v>0.8</v>
      </c>
      <c r="K8" s="14">
        <v>0.95</v>
      </c>
      <c r="L8" s="14">
        <v>0.9</v>
      </c>
      <c r="M8" s="114">
        <f>B8*0.055</f>
        <v>1248.28</v>
      </c>
      <c r="N8" s="114">
        <f>B8*0.0085</f>
        <v>192.91600000000003</v>
      </c>
      <c r="O8" s="15">
        <f>N8*0.9</f>
        <v>173.62440000000004</v>
      </c>
      <c r="P8" s="15">
        <f>M8*0.9</f>
        <v>1123.452</v>
      </c>
      <c r="Q8" s="15">
        <f>M8*0.85</f>
        <v>1061.038</v>
      </c>
      <c r="R8" s="67" t="s">
        <v>147</v>
      </c>
      <c r="S8" s="15">
        <f>N8*0.95</f>
        <v>183.27020000000002</v>
      </c>
      <c r="T8" s="15">
        <f>N8*0.9</f>
        <v>173.62440000000004</v>
      </c>
      <c r="U8" s="15">
        <f>N8*0.95</f>
        <v>183.27020000000002</v>
      </c>
      <c r="V8" s="15">
        <f>N8*0.85</f>
        <v>163.97860000000003</v>
      </c>
      <c r="W8" s="15">
        <f>B8*0.0882</f>
        <v>2001.7872</v>
      </c>
      <c r="X8" s="15">
        <f>W8*0.7</f>
        <v>1401.2510399999999</v>
      </c>
      <c r="Y8" s="15">
        <f>W8*0.7</f>
        <v>1401.2510399999999</v>
      </c>
      <c r="Z8" s="15">
        <f>B8*0.52*0.188</f>
        <v>2218.76096</v>
      </c>
      <c r="AA8" s="15">
        <f>Z8*0.3</f>
        <v>665.628288</v>
      </c>
      <c r="AB8" s="15">
        <f>AA8*0.35</f>
        <v>232.96990079999998</v>
      </c>
      <c r="AC8" s="12">
        <f>AA8*0.3</f>
        <v>199.6884864</v>
      </c>
      <c r="AD8" s="33">
        <f>B8*0.52*0.097</f>
        <v>1144.7862400000001</v>
      </c>
      <c r="AE8" s="15">
        <f>AD8*0.25</f>
        <v>286.19656000000003</v>
      </c>
      <c r="AF8" s="15">
        <f>AE8*0.3</f>
        <v>85.858968</v>
      </c>
      <c r="AG8" s="48">
        <f>AE8*0.2</f>
        <v>57.23931200000001</v>
      </c>
      <c r="AH8" s="67" t="s">
        <v>147</v>
      </c>
      <c r="AI8" s="19">
        <f>B8*8/1000</f>
        <v>181.568</v>
      </c>
      <c r="AJ8" s="15">
        <f>AI8*0.2</f>
        <v>36.3136</v>
      </c>
      <c r="AK8" s="15">
        <f>AI8*0.2</f>
        <v>36.3136</v>
      </c>
      <c r="AL8" s="110">
        <f>AK8*0.6</f>
        <v>21.78816</v>
      </c>
      <c r="AM8" s="49">
        <v>1</v>
      </c>
      <c r="AN8" s="16">
        <v>0.95</v>
      </c>
      <c r="AO8" s="49">
        <v>1</v>
      </c>
      <c r="AP8" s="16">
        <v>1</v>
      </c>
      <c r="AQ8" s="16">
        <v>0.95</v>
      </c>
      <c r="AR8" s="16">
        <v>1</v>
      </c>
      <c r="AS8" s="16">
        <v>0.8</v>
      </c>
      <c r="AT8" s="16">
        <v>0.85</v>
      </c>
      <c r="AU8" s="16">
        <v>0.85</v>
      </c>
      <c r="AV8" s="49">
        <v>0.95</v>
      </c>
      <c r="AW8" s="49">
        <v>0.8</v>
      </c>
      <c r="AX8" s="107"/>
      <c r="AY8" s="107"/>
      <c r="AZ8" s="107"/>
      <c r="BA8" s="107"/>
      <c r="BB8" s="107"/>
    </row>
    <row r="9" spans="1:54" s="17" customFormat="1" ht="29.25" customHeight="1">
      <c r="A9" s="65" t="s">
        <v>148</v>
      </c>
      <c r="B9" s="115">
        <v>25314</v>
      </c>
      <c r="C9" s="12">
        <f>B9*0.75</f>
        <v>18985.5</v>
      </c>
      <c r="D9" s="12">
        <f>B9*0.75</f>
        <v>18985.5</v>
      </c>
      <c r="E9" s="13">
        <v>12</v>
      </c>
      <c r="F9" s="13">
        <v>6</v>
      </c>
      <c r="G9" s="13">
        <v>6</v>
      </c>
      <c r="H9" s="13">
        <v>9</v>
      </c>
      <c r="I9" s="13">
        <v>12</v>
      </c>
      <c r="J9" s="14">
        <v>0.8</v>
      </c>
      <c r="K9" s="14">
        <v>0.95</v>
      </c>
      <c r="L9" s="14">
        <v>0.9</v>
      </c>
      <c r="M9" s="114">
        <f>B9*0.055</f>
        <v>1392.27</v>
      </c>
      <c r="N9" s="114">
        <f>B9*0.0085</f>
        <v>215.169</v>
      </c>
      <c r="O9" s="15">
        <f>N9*0.9</f>
        <v>193.65210000000002</v>
      </c>
      <c r="P9" s="15">
        <f>M9*0.9</f>
        <v>1253.0430000000001</v>
      </c>
      <c r="Q9" s="15">
        <f>M9*0.85</f>
        <v>1183.4295</v>
      </c>
      <c r="R9" s="65" t="s">
        <v>148</v>
      </c>
      <c r="S9" s="15">
        <f>N9*0.95</f>
        <v>204.41055</v>
      </c>
      <c r="T9" s="15">
        <f>N9*0.9</f>
        <v>193.65210000000002</v>
      </c>
      <c r="U9" s="15">
        <f>N9*0.95</f>
        <v>204.41055</v>
      </c>
      <c r="V9" s="15">
        <f>N9*0.85</f>
        <v>182.89365</v>
      </c>
      <c r="W9" s="15">
        <f>B9*0.0882</f>
        <v>2232.6948</v>
      </c>
      <c r="X9" s="15">
        <f>W9*0.7</f>
        <v>1562.88636</v>
      </c>
      <c r="Y9" s="15">
        <f>W9*0.7</f>
        <v>1562.88636</v>
      </c>
      <c r="Z9" s="15">
        <f>B9*0.52*0.188</f>
        <v>2474.69664</v>
      </c>
      <c r="AA9" s="15">
        <f>Z9*0.3</f>
        <v>742.408992</v>
      </c>
      <c r="AB9" s="15">
        <f>AA9*0.35</f>
        <v>259.8431472</v>
      </c>
      <c r="AC9" s="12">
        <f>AA9*0.3</f>
        <v>222.7226976</v>
      </c>
      <c r="AD9" s="33">
        <f>B9*0.52*0.097</f>
        <v>1276.83816</v>
      </c>
      <c r="AE9" s="15">
        <f>AD9*0.25</f>
        <v>319.20954</v>
      </c>
      <c r="AF9" s="15">
        <f>AE9*0.3</f>
        <v>95.762862</v>
      </c>
      <c r="AG9" s="48">
        <f>AE9*0.2</f>
        <v>63.841908000000004</v>
      </c>
      <c r="AH9" s="65" t="s">
        <v>148</v>
      </c>
      <c r="AI9" s="19">
        <f>B9*8/1000</f>
        <v>202.512</v>
      </c>
      <c r="AJ9" s="15">
        <f>AI9*0.2</f>
        <v>40.5024</v>
      </c>
      <c r="AK9" s="15">
        <f>AI9*0.2</f>
        <v>40.5024</v>
      </c>
      <c r="AL9" s="110">
        <f>AK9*0.6</f>
        <v>24.30144</v>
      </c>
      <c r="AM9" s="49">
        <v>1</v>
      </c>
      <c r="AN9" s="16">
        <v>0.95</v>
      </c>
      <c r="AO9" s="49">
        <v>1</v>
      </c>
      <c r="AP9" s="16">
        <v>1</v>
      </c>
      <c r="AQ9" s="16">
        <v>0.95</v>
      </c>
      <c r="AR9" s="16">
        <v>1</v>
      </c>
      <c r="AS9" s="16">
        <v>0.8</v>
      </c>
      <c r="AT9" s="16">
        <v>0.85</v>
      </c>
      <c r="AU9" s="16">
        <v>0.85</v>
      </c>
      <c r="AV9" s="49">
        <v>0.95</v>
      </c>
      <c r="AW9" s="49">
        <v>0.8</v>
      </c>
      <c r="AX9" s="107"/>
      <c r="AY9" s="107"/>
      <c r="AZ9" s="107"/>
      <c r="BA9" s="107"/>
      <c r="BB9" s="107"/>
    </row>
    <row r="10" spans="1:54" s="23" customFormat="1" ht="29.25" customHeight="1">
      <c r="A10" s="62" t="s">
        <v>152</v>
      </c>
      <c r="B10" s="18">
        <f>SUM(B7:B9)</f>
        <v>68000</v>
      </c>
      <c r="C10" s="18">
        <f>SUM(C7:C9)</f>
        <v>51000</v>
      </c>
      <c r="D10" s="19">
        <f>SUM(D7:D9)</f>
        <v>51000</v>
      </c>
      <c r="E10" s="18">
        <v>12</v>
      </c>
      <c r="F10" s="18">
        <v>6</v>
      </c>
      <c r="G10" s="18">
        <f>SUM(G7:G9)</f>
        <v>18</v>
      </c>
      <c r="H10" s="18">
        <f>SUM(H7:H9)</f>
        <v>27</v>
      </c>
      <c r="I10" s="18">
        <f>SUM(I7:I9)</f>
        <v>36</v>
      </c>
      <c r="J10" s="20">
        <v>0.8</v>
      </c>
      <c r="K10" s="20">
        <v>0.95</v>
      </c>
      <c r="L10" s="20">
        <v>0.9</v>
      </c>
      <c r="M10" s="19">
        <f>SUM(M7:M9)</f>
        <v>3740</v>
      </c>
      <c r="N10" s="19">
        <f>SUM(N7:N9)</f>
        <v>578</v>
      </c>
      <c r="O10" s="19">
        <f>SUM(O7:O9)</f>
        <v>520.2</v>
      </c>
      <c r="P10" s="19">
        <f>SUM(P7:P9)</f>
        <v>3366.0000000000005</v>
      </c>
      <c r="Q10" s="19">
        <f>SUM(Q7:Q9)</f>
        <v>3179</v>
      </c>
      <c r="R10" s="62" t="s">
        <v>152</v>
      </c>
      <c r="S10" s="19">
        <f aca="true" t="shared" si="0" ref="S10:AG10">SUM(S7:S9)</f>
        <v>549.1</v>
      </c>
      <c r="T10" s="19">
        <f t="shared" si="0"/>
        <v>520.2</v>
      </c>
      <c r="U10" s="19">
        <f t="shared" si="0"/>
        <v>549.1</v>
      </c>
      <c r="V10" s="19">
        <f t="shared" si="0"/>
        <v>491.30000000000007</v>
      </c>
      <c r="W10" s="19">
        <f t="shared" si="0"/>
        <v>5997.6</v>
      </c>
      <c r="X10" s="19">
        <f t="shared" si="0"/>
        <v>4198.32</v>
      </c>
      <c r="Y10" s="19">
        <f t="shared" si="0"/>
        <v>4198.32</v>
      </c>
      <c r="Z10" s="19">
        <f t="shared" si="0"/>
        <v>6647.68</v>
      </c>
      <c r="AA10" s="19">
        <f t="shared" si="0"/>
        <v>1994.304</v>
      </c>
      <c r="AB10" s="19">
        <f t="shared" si="0"/>
        <v>698.0064</v>
      </c>
      <c r="AC10" s="22">
        <f t="shared" si="0"/>
        <v>598.2911999999999</v>
      </c>
      <c r="AD10" s="19">
        <f t="shared" si="0"/>
        <v>3429.92</v>
      </c>
      <c r="AE10" s="19">
        <f t="shared" si="0"/>
        <v>857.48</v>
      </c>
      <c r="AF10" s="22">
        <f t="shared" si="0"/>
        <v>257.244</v>
      </c>
      <c r="AG10" s="22">
        <f t="shared" si="0"/>
        <v>171.49600000000004</v>
      </c>
      <c r="AH10" s="62" t="s">
        <v>152</v>
      </c>
      <c r="AI10" s="22">
        <f>SUM(AI7:AI9)</f>
        <v>544</v>
      </c>
      <c r="AJ10" s="22">
        <f>SUM(AJ7:AJ9)</f>
        <v>108.80000000000001</v>
      </c>
      <c r="AK10" s="22">
        <f>SUM(AK7:AK9)</f>
        <v>108.80000000000001</v>
      </c>
      <c r="AL10" s="111">
        <f>SUM(AL7:AL9)</f>
        <v>65.28</v>
      </c>
      <c r="AM10" s="49">
        <v>1</v>
      </c>
      <c r="AN10" s="16">
        <v>0.95</v>
      </c>
      <c r="AO10" s="49">
        <v>1</v>
      </c>
      <c r="AP10" s="16">
        <v>1</v>
      </c>
      <c r="AQ10" s="16">
        <v>0.95</v>
      </c>
      <c r="AR10" s="16">
        <v>1</v>
      </c>
      <c r="AS10" s="16">
        <v>0.8</v>
      </c>
      <c r="AT10" s="16">
        <v>0.85</v>
      </c>
      <c r="AU10" s="16">
        <v>0.85</v>
      </c>
      <c r="AV10" s="49">
        <v>0.95</v>
      </c>
      <c r="AW10" s="49">
        <v>0.8</v>
      </c>
      <c r="AX10" s="107"/>
      <c r="AY10" s="107"/>
      <c r="AZ10" s="107"/>
      <c r="BA10" s="107"/>
      <c r="BB10" s="107"/>
    </row>
    <row r="11" spans="1:50" s="26" customFormat="1" ht="29.25" customHeight="1">
      <c r="A11" s="150" t="s">
        <v>153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24"/>
      <c r="AK11" s="24"/>
      <c r="AL11" s="24"/>
      <c r="AM11" s="104"/>
      <c r="AN11" s="105"/>
      <c r="AO11" s="104"/>
      <c r="AP11" s="105"/>
      <c r="AQ11" s="105"/>
      <c r="AR11" s="105"/>
      <c r="AS11" s="105"/>
      <c r="AT11" s="105"/>
      <c r="AU11" s="105"/>
      <c r="AV11" s="104"/>
      <c r="AW11" s="104"/>
      <c r="AX11" s="25"/>
    </row>
    <row r="12" spans="12:39" ht="14.25">
      <c r="L12" s="64"/>
      <c r="AM12" s="64"/>
    </row>
    <row r="13" spans="12:39" ht="14.25">
      <c r="L13" s="64"/>
      <c r="AM13" s="64"/>
    </row>
  </sheetData>
  <sheetProtection/>
  <mergeCells count="72">
    <mergeCell ref="A3:A4"/>
    <mergeCell ref="W3:Y4"/>
    <mergeCell ref="B3:B6"/>
    <mergeCell ref="K5:K6"/>
    <mergeCell ref="K3:L4"/>
    <mergeCell ref="M3:Q4"/>
    <mergeCell ref="R3:R4"/>
    <mergeCell ref="C5:C6"/>
    <mergeCell ref="C3:D4"/>
    <mergeCell ref="D5:D6"/>
    <mergeCell ref="AD2:AI2"/>
    <mergeCell ref="AG5:AG6"/>
    <mergeCell ref="AJ5:AJ6"/>
    <mergeCell ref="BB5:BB6"/>
    <mergeCell ref="BA3:BB4"/>
    <mergeCell ref="BA5:BA6"/>
    <mergeCell ref="AX5:AX6"/>
    <mergeCell ref="AY5:AY6"/>
    <mergeCell ref="AL5:AL6"/>
    <mergeCell ref="AK5:AK6"/>
    <mergeCell ref="A1:Q1"/>
    <mergeCell ref="G5:G6"/>
    <mergeCell ref="E5:E6"/>
    <mergeCell ref="J5:J6"/>
    <mergeCell ref="H5:H6"/>
    <mergeCell ref="I5:I6"/>
    <mergeCell ref="F5:F6"/>
    <mergeCell ref="E3:J4"/>
    <mergeCell ref="M5:M6"/>
    <mergeCell ref="L5:L6"/>
    <mergeCell ref="AD5:AD6"/>
    <mergeCell ref="AE5:AE6"/>
    <mergeCell ref="V5:V6"/>
    <mergeCell ref="P5:P6"/>
    <mergeCell ref="AB5:AB6"/>
    <mergeCell ref="Y5:Y6"/>
    <mergeCell ref="S5:S6"/>
    <mergeCell ref="Z5:Z6"/>
    <mergeCell ref="R1:AG1"/>
    <mergeCell ref="AX3:AZ4"/>
    <mergeCell ref="AC5:AC6"/>
    <mergeCell ref="AZ5:AZ6"/>
    <mergeCell ref="AF5:AF6"/>
    <mergeCell ref="U5:U6"/>
    <mergeCell ref="Z3:AC4"/>
    <mergeCell ref="X5:X6"/>
    <mergeCell ref="S3:V4"/>
    <mergeCell ref="AI5:AI6"/>
    <mergeCell ref="A11:AI11"/>
    <mergeCell ref="AH3:AH4"/>
    <mergeCell ref="AI3:AL4"/>
    <mergeCell ref="AD3:AG4"/>
    <mergeCell ref="O5:O6"/>
    <mergeCell ref="N5:N6"/>
    <mergeCell ref="T5:T6"/>
    <mergeCell ref="Q5:Q6"/>
    <mergeCell ref="W5:W6"/>
    <mergeCell ref="AA5:AA6"/>
    <mergeCell ref="AU5:AU6"/>
    <mergeCell ref="AM3:AU4"/>
    <mergeCell ref="AV3:AV4"/>
    <mergeCell ref="AV5:AV6"/>
    <mergeCell ref="AH1:AW1"/>
    <mergeCell ref="AW3:AW6"/>
    <mergeCell ref="AM5:AM6"/>
    <mergeCell ref="AN5:AN6"/>
    <mergeCell ref="AO5:AO6"/>
    <mergeCell ref="AP5:AP6"/>
    <mergeCell ref="AQ5:AQ6"/>
    <mergeCell ref="AR5:AR6"/>
    <mergeCell ref="AS5:AS6"/>
    <mergeCell ref="AT5:AT6"/>
  </mergeCells>
  <printOptions/>
  <pageMargins left="0.5511811023622047" right="0.5511811023622047" top="0.3937007874015748" bottom="0.3937007874015748" header="0.5118110236220472" footer="0.5118110236220472"/>
  <pageSetup horizontalDpi="200" verticalDpi="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X16"/>
  <sheetViews>
    <sheetView workbookViewId="0" topLeftCell="A1">
      <selection activeCell="G6" sqref="G6:G10"/>
    </sheetView>
  </sheetViews>
  <sheetFormatPr defaultColWidth="9.00390625" defaultRowHeight="14.25"/>
  <cols>
    <col min="1" max="1" width="10.00390625" style="63" customWidth="1"/>
    <col min="2" max="2" width="7.875" style="1" customWidth="1"/>
    <col min="3" max="4" width="7.00390625" style="3" customWidth="1"/>
    <col min="5" max="9" width="6.375" style="3" customWidth="1"/>
    <col min="10" max="12" width="7.00390625" style="3" customWidth="1"/>
    <col min="13" max="14" width="7.625" style="1" customWidth="1"/>
    <col min="15" max="15" width="7.625" style="6" customWidth="1"/>
    <col min="16" max="17" width="7.625" style="7" customWidth="1"/>
    <col min="18" max="18" width="9.875" style="7" customWidth="1"/>
    <col min="19" max="19" width="7.125" style="4" customWidth="1"/>
    <col min="20" max="20" width="9.625" style="4" customWidth="1"/>
    <col min="21" max="21" width="7.25390625" style="4" customWidth="1"/>
    <col min="22" max="22" width="7.25390625" style="7" customWidth="1"/>
    <col min="23" max="23" width="7.625" style="29" customWidth="1"/>
    <col min="24" max="25" width="7.625" style="4" customWidth="1"/>
    <col min="26" max="26" width="6.75390625" style="2" customWidth="1"/>
    <col min="27" max="28" width="6.75390625" style="4" customWidth="1"/>
    <col min="29" max="29" width="6.75390625" style="8" customWidth="1"/>
    <col min="30" max="30" width="7.25390625" style="30" customWidth="1"/>
    <col min="31" max="32" width="7.25390625" style="8" customWidth="1"/>
    <col min="33" max="33" width="7.25390625" style="4" customWidth="1"/>
    <col min="34" max="34" width="10.375" style="4" customWidth="1"/>
    <col min="35" max="35" width="7.375" style="30" customWidth="1"/>
    <col min="36" max="36" width="7.375" style="4" customWidth="1"/>
    <col min="37" max="37" width="6.375" style="8" customWidth="1"/>
    <col min="38" max="38" width="8.75390625" style="8" customWidth="1"/>
    <col min="39" max="44" width="6.375" style="8" customWidth="1"/>
    <col min="45" max="47" width="6.375" style="3" customWidth="1"/>
    <col min="48" max="48" width="7.50390625" style="3" customWidth="1"/>
    <col min="49" max="49" width="6.375" style="3" customWidth="1"/>
    <col min="50" max="16384" width="9.00390625" style="3" customWidth="1"/>
  </cols>
  <sheetData>
    <row r="1" spans="1:50" s="28" customFormat="1" ht="22.5" customHeight="1">
      <c r="A1" s="136" t="s">
        <v>335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94"/>
      <c r="R1" s="136" t="s">
        <v>335</v>
      </c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94" t="s">
        <v>28</v>
      </c>
      <c r="AI1" s="27" t="s">
        <v>335</v>
      </c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</row>
    <row r="2" spans="1:44" s="4" customFormat="1" ht="15" customHeight="1">
      <c r="A2" s="31" t="s">
        <v>325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51"/>
      <c r="N2" s="51"/>
      <c r="O2" s="51"/>
      <c r="P2" s="51"/>
      <c r="Q2" s="51"/>
      <c r="R2" s="51"/>
      <c r="S2" s="32"/>
      <c r="T2" s="32"/>
      <c r="U2" s="32"/>
      <c r="V2" s="32"/>
      <c r="W2" s="32"/>
      <c r="X2" s="32"/>
      <c r="Y2" s="32"/>
      <c r="Z2" s="32"/>
      <c r="AA2" s="32"/>
      <c r="AB2" s="32"/>
      <c r="AC2" s="9"/>
      <c r="AD2" s="10"/>
      <c r="AE2" s="10"/>
      <c r="AF2" s="10"/>
      <c r="AG2" s="95"/>
      <c r="AH2" s="95"/>
      <c r="AI2" s="10"/>
      <c r="AJ2" s="9"/>
      <c r="AK2" s="10"/>
      <c r="AL2" s="10"/>
      <c r="AM2" s="10"/>
      <c r="AN2" s="10"/>
      <c r="AO2" s="10"/>
      <c r="AP2" s="10"/>
      <c r="AQ2" s="10"/>
      <c r="AR2" s="10"/>
    </row>
    <row r="3" spans="1:49" s="11" customFormat="1" ht="31.5" customHeight="1">
      <c r="A3" s="96" t="s">
        <v>7</v>
      </c>
      <c r="B3" s="139" t="s">
        <v>0</v>
      </c>
      <c r="C3" s="165" t="s">
        <v>2</v>
      </c>
      <c r="D3" s="167"/>
      <c r="E3" s="165" t="s">
        <v>1</v>
      </c>
      <c r="F3" s="166"/>
      <c r="G3" s="166"/>
      <c r="H3" s="166"/>
      <c r="I3" s="166"/>
      <c r="J3" s="167"/>
      <c r="K3" s="165" t="s">
        <v>31</v>
      </c>
      <c r="L3" s="167"/>
      <c r="M3" s="165" t="s">
        <v>64</v>
      </c>
      <c r="N3" s="166"/>
      <c r="O3" s="166"/>
      <c r="P3" s="166"/>
      <c r="Q3" s="167"/>
      <c r="R3" s="97" t="s">
        <v>7</v>
      </c>
      <c r="S3" s="165" t="s">
        <v>3</v>
      </c>
      <c r="T3" s="166"/>
      <c r="U3" s="166"/>
      <c r="V3" s="167"/>
      <c r="W3" s="165" t="s">
        <v>65</v>
      </c>
      <c r="X3" s="166"/>
      <c r="Y3" s="167"/>
      <c r="Z3" s="122" t="s">
        <v>24</v>
      </c>
      <c r="AA3" s="123"/>
      <c r="AB3" s="123"/>
      <c r="AC3" s="128"/>
      <c r="AD3" s="165" t="s">
        <v>17</v>
      </c>
      <c r="AE3" s="166"/>
      <c r="AF3" s="166"/>
      <c r="AG3" s="167"/>
      <c r="AH3" s="97" t="s">
        <v>7</v>
      </c>
      <c r="AI3" s="119" t="s">
        <v>23</v>
      </c>
      <c r="AJ3" s="120"/>
      <c r="AK3" s="120"/>
      <c r="AL3" s="120"/>
      <c r="AM3" s="163" t="s">
        <v>337</v>
      </c>
      <c r="AN3" s="163"/>
      <c r="AO3" s="163"/>
      <c r="AP3" s="163"/>
      <c r="AQ3" s="163"/>
      <c r="AR3" s="163"/>
      <c r="AS3" s="163"/>
      <c r="AT3" s="163"/>
      <c r="AU3" s="164"/>
      <c r="AV3" s="39" t="s">
        <v>339</v>
      </c>
      <c r="AW3" s="126" t="s">
        <v>48</v>
      </c>
    </row>
    <row r="4" spans="1:49" s="5" customFormat="1" ht="26.25" customHeight="1">
      <c r="A4" s="52"/>
      <c r="B4" s="140"/>
      <c r="C4" s="126" t="s">
        <v>66</v>
      </c>
      <c r="D4" s="126" t="s">
        <v>29</v>
      </c>
      <c r="E4" s="126" t="s">
        <v>4</v>
      </c>
      <c r="F4" s="126" t="s">
        <v>35</v>
      </c>
      <c r="G4" s="144" t="s">
        <v>341</v>
      </c>
      <c r="H4" s="126" t="s">
        <v>5</v>
      </c>
      <c r="I4" s="126" t="s">
        <v>6</v>
      </c>
      <c r="J4" s="126" t="s">
        <v>32</v>
      </c>
      <c r="K4" s="126" t="s">
        <v>33</v>
      </c>
      <c r="L4" s="126" t="s">
        <v>34</v>
      </c>
      <c r="M4" s="126" t="s">
        <v>43</v>
      </c>
      <c r="N4" s="126" t="s">
        <v>44</v>
      </c>
      <c r="O4" s="126" t="s">
        <v>40</v>
      </c>
      <c r="P4" s="126" t="s">
        <v>41</v>
      </c>
      <c r="Q4" s="126" t="s">
        <v>42</v>
      </c>
      <c r="R4" s="52"/>
      <c r="S4" s="126" t="s">
        <v>8</v>
      </c>
      <c r="T4" s="126" t="s">
        <v>9</v>
      </c>
      <c r="U4" s="126" t="s">
        <v>10</v>
      </c>
      <c r="V4" s="145" t="s">
        <v>27</v>
      </c>
      <c r="W4" s="126" t="s">
        <v>212</v>
      </c>
      <c r="X4" s="126" t="s">
        <v>45</v>
      </c>
      <c r="Y4" s="126" t="s">
        <v>46</v>
      </c>
      <c r="Z4" s="126" t="s">
        <v>326</v>
      </c>
      <c r="AA4" s="149" t="s">
        <v>39</v>
      </c>
      <c r="AB4" s="149" t="s">
        <v>11</v>
      </c>
      <c r="AC4" s="147" t="s">
        <v>12</v>
      </c>
      <c r="AD4" s="126" t="s">
        <v>327</v>
      </c>
      <c r="AE4" s="126" t="s">
        <v>39</v>
      </c>
      <c r="AF4" s="126" t="s">
        <v>13</v>
      </c>
      <c r="AG4" s="147" t="s">
        <v>14</v>
      </c>
      <c r="AH4" s="52"/>
      <c r="AI4" s="126" t="s">
        <v>15</v>
      </c>
      <c r="AJ4" s="126" t="s">
        <v>47</v>
      </c>
      <c r="AK4" s="126" t="s">
        <v>38</v>
      </c>
      <c r="AL4" s="126" t="s">
        <v>16</v>
      </c>
      <c r="AM4" s="144" t="s">
        <v>18</v>
      </c>
      <c r="AN4" s="144" t="s">
        <v>19</v>
      </c>
      <c r="AO4" s="144" t="s">
        <v>20</v>
      </c>
      <c r="AP4" s="126" t="s">
        <v>329</v>
      </c>
      <c r="AQ4" s="126" t="s">
        <v>330</v>
      </c>
      <c r="AR4" s="126" t="s">
        <v>331</v>
      </c>
      <c r="AS4" s="126" t="s">
        <v>332</v>
      </c>
      <c r="AT4" s="126" t="s">
        <v>333</v>
      </c>
      <c r="AU4" s="126" t="s">
        <v>334</v>
      </c>
      <c r="AV4" s="126" t="s">
        <v>21</v>
      </c>
      <c r="AW4" s="149"/>
    </row>
    <row r="5" spans="1:49" s="5" customFormat="1" ht="54" customHeight="1">
      <c r="A5" s="53" t="s">
        <v>81</v>
      </c>
      <c r="B5" s="118"/>
      <c r="C5" s="127"/>
      <c r="D5" s="127"/>
      <c r="E5" s="127"/>
      <c r="F5" s="127"/>
      <c r="G5" s="144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54" t="s">
        <v>81</v>
      </c>
      <c r="S5" s="127"/>
      <c r="T5" s="127"/>
      <c r="U5" s="127"/>
      <c r="V5" s="146"/>
      <c r="W5" s="127"/>
      <c r="X5" s="127"/>
      <c r="Y5" s="127"/>
      <c r="Z5" s="127"/>
      <c r="AA5" s="127"/>
      <c r="AB5" s="127"/>
      <c r="AC5" s="148"/>
      <c r="AD5" s="127"/>
      <c r="AE5" s="127"/>
      <c r="AF5" s="127"/>
      <c r="AG5" s="148"/>
      <c r="AH5" s="54" t="s">
        <v>81</v>
      </c>
      <c r="AI5" s="127"/>
      <c r="AJ5" s="127"/>
      <c r="AK5" s="127"/>
      <c r="AL5" s="127"/>
      <c r="AM5" s="144"/>
      <c r="AN5" s="144"/>
      <c r="AO5" s="144"/>
      <c r="AP5" s="127"/>
      <c r="AQ5" s="127"/>
      <c r="AR5" s="127"/>
      <c r="AS5" s="127"/>
      <c r="AT5" s="127"/>
      <c r="AU5" s="127"/>
      <c r="AV5" s="127"/>
      <c r="AW5" s="149"/>
    </row>
    <row r="6" spans="1:49" s="17" customFormat="1" ht="41.25" customHeight="1">
      <c r="A6" s="53" t="s">
        <v>154</v>
      </c>
      <c r="B6" s="101">
        <v>18362</v>
      </c>
      <c r="C6" s="12">
        <f>B6*0.75</f>
        <v>13771.5</v>
      </c>
      <c r="D6" s="12">
        <f>B6*0.75</f>
        <v>13771.5</v>
      </c>
      <c r="E6" s="13">
        <v>12</v>
      </c>
      <c r="F6" s="13">
        <v>6</v>
      </c>
      <c r="G6" s="13">
        <v>6</v>
      </c>
      <c r="H6" s="13">
        <v>9</v>
      </c>
      <c r="I6" s="13">
        <v>12</v>
      </c>
      <c r="J6" s="14">
        <v>0.7</v>
      </c>
      <c r="K6" s="14">
        <v>0.95</v>
      </c>
      <c r="L6" s="14">
        <v>0.9</v>
      </c>
      <c r="M6" s="98">
        <f>B6*0.0447</f>
        <v>820.7814</v>
      </c>
      <c r="N6" s="114">
        <f>B6*0.0047</f>
        <v>86.3014</v>
      </c>
      <c r="O6" s="15">
        <f>N6*0.9</f>
        <v>77.67126</v>
      </c>
      <c r="P6" s="15">
        <f>M6*0.9</f>
        <v>738.70326</v>
      </c>
      <c r="Q6" s="15">
        <f>M6*0.85</f>
        <v>697.66419</v>
      </c>
      <c r="R6" s="53" t="s">
        <v>154</v>
      </c>
      <c r="S6" s="15">
        <f>N6*0.95</f>
        <v>81.98633</v>
      </c>
      <c r="T6" s="15">
        <f>N6*0.9</f>
        <v>77.67126</v>
      </c>
      <c r="U6" s="15">
        <f>N6*0.95</f>
        <v>81.98633</v>
      </c>
      <c r="V6" s="15">
        <f>N6*0.85</f>
        <v>73.35619</v>
      </c>
      <c r="W6" s="15">
        <f>B6*0.0882</f>
        <v>1619.5284</v>
      </c>
      <c r="X6" s="15">
        <f>W6*0.7</f>
        <v>1133.66988</v>
      </c>
      <c r="Y6" s="15">
        <f>W6*0.7</f>
        <v>1133.66988</v>
      </c>
      <c r="Z6" s="15">
        <f>B6*0.52*0.188</f>
        <v>1795.0691199999999</v>
      </c>
      <c r="AA6" s="15">
        <f>Z6*0.3</f>
        <v>538.5207359999999</v>
      </c>
      <c r="AB6" s="15">
        <f>AA6*0.35</f>
        <v>188.48225759999997</v>
      </c>
      <c r="AC6" s="12">
        <f>AA6*0.3</f>
        <v>161.55622079999998</v>
      </c>
      <c r="AD6" s="33">
        <f>B6*0.52*0.097</f>
        <v>926.1792800000001</v>
      </c>
      <c r="AE6" s="15">
        <f>AD6*0.25</f>
        <v>231.54482000000002</v>
      </c>
      <c r="AF6" s="15">
        <f>AE6*0.3</f>
        <v>69.463446</v>
      </c>
      <c r="AG6" s="12">
        <f>AE6*0.2</f>
        <v>46.308964</v>
      </c>
      <c r="AH6" s="53" t="s">
        <v>154</v>
      </c>
      <c r="AI6" s="15">
        <f>B6*8/1000</f>
        <v>146.896</v>
      </c>
      <c r="AJ6" s="15">
        <f>AI6*0.2</f>
        <v>29.379199999999997</v>
      </c>
      <c r="AK6" s="15">
        <f>AI6*0.2</f>
        <v>29.379199999999997</v>
      </c>
      <c r="AL6" s="15">
        <f>AK6*0.6</f>
        <v>17.627519999999997</v>
      </c>
      <c r="AM6" s="16">
        <v>1</v>
      </c>
      <c r="AN6" s="16">
        <v>0.95</v>
      </c>
      <c r="AO6" s="16">
        <v>1</v>
      </c>
      <c r="AP6" s="16">
        <v>1</v>
      </c>
      <c r="AQ6" s="16">
        <v>0.95</v>
      </c>
      <c r="AR6" s="16">
        <v>1</v>
      </c>
      <c r="AS6" s="16">
        <v>0.8</v>
      </c>
      <c r="AT6" s="16">
        <v>0.85</v>
      </c>
      <c r="AU6" s="16">
        <v>0.85</v>
      </c>
      <c r="AV6" s="16">
        <v>0.95</v>
      </c>
      <c r="AW6" s="16">
        <v>0.8</v>
      </c>
    </row>
    <row r="7" spans="1:49" s="17" customFormat="1" ht="41.25" customHeight="1">
      <c r="A7" s="53" t="s">
        <v>155</v>
      </c>
      <c r="B7" s="101">
        <v>15064</v>
      </c>
      <c r="C7" s="12">
        <f>B7*0.75</f>
        <v>11298</v>
      </c>
      <c r="D7" s="12">
        <f>B7*0.75</f>
        <v>11298</v>
      </c>
      <c r="E7" s="13">
        <v>12</v>
      </c>
      <c r="F7" s="13">
        <v>6</v>
      </c>
      <c r="G7" s="13">
        <v>6</v>
      </c>
      <c r="H7" s="13">
        <v>9</v>
      </c>
      <c r="I7" s="13">
        <v>12</v>
      </c>
      <c r="J7" s="14">
        <v>0.7</v>
      </c>
      <c r="K7" s="14">
        <v>0.95</v>
      </c>
      <c r="L7" s="14">
        <v>0.9</v>
      </c>
      <c r="M7" s="98">
        <f>B7*0.0447</f>
        <v>673.3607999999999</v>
      </c>
      <c r="N7" s="114">
        <f>B7*0.0047</f>
        <v>70.80080000000001</v>
      </c>
      <c r="O7" s="15">
        <f>N7*0.9</f>
        <v>63.72072000000001</v>
      </c>
      <c r="P7" s="15">
        <f>M7*0.9</f>
        <v>606.02472</v>
      </c>
      <c r="Q7" s="15">
        <f>M7*0.85</f>
        <v>572.3566799999999</v>
      </c>
      <c r="R7" s="53" t="s">
        <v>155</v>
      </c>
      <c r="S7" s="15">
        <f>N7*0.95</f>
        <v>67.26076</v>
      </c>
      <c r="T7" s="15">
        <f>N7*0.9</f>
        <v>63.72072000000001</v>
      </c>
      <c r="U7" s="15">
        <f>N7*0.95</f>
        <v>67.26076</v>
      </c>
      <c r="V7" s="15">
        <f>N7*0.85</f>
        <v>60.18068000000001</v>
      </c>
      <c r="W7" s="15">
        <f>B7*0.0882</f>
        <v>1328.6448</v>
      </c>
      <c r="X7" s="15">
        <f>W7*0.7</f>
        <v>930.0513599999999</v>
      </c>
      <c r="Y7" s="15">
        <f>W7*0.7</f>
        <v>930.0513599999999</v>
      </c>
      <c r="Z7" s="15">
        <f>B7*0.52*0.188</f>
        <v>1472.6566400000002</v>
      </c>
      <c r="AA7" s="15">
        <f>Z7*0.3</f>
        <v>441.79699200000005</v>
      </c>
      <c r="AB7" s="15">
        <f>AA7*0.35</f>
        <v>154.6289472</v>
      </c>
      <c r="AC7" s="12">
        <f>AA7*0.3</f>
        <v>132.53909760000002</v>
      </c>
      <c r="AD7" s="33">
        <f>B7*0.52*0.097</f>
        <v>759.8281600000001</v>
      </c>
      <c r="AE7" s="15">
        <f>AD7*0.25</f>
        <v>189.95704000000003</v>
      </c>
      <c r="AF7" s="15">
        <f>AE7*0.3</f>
        <v>56.98711200000001</v>
      </c>
      <c r="AG7" s="12">
        <f>AE7*0.2</f>
        <v>37.99140800000001</v>
      </c>
      <c r="AH7" s="53" t="s">
        <v>155</v>
      </c>
      <c r="AI7" s="15">
        <f>B7*8/1000</f>
        <v>120.512</v>
      </c>
      <c r="AJ7" s="15">
        <f>AI7*0.2</f>
        <v>24.102400000000003</v>
      </c>
      <c r="AK7" s="15">
        <f>AI7*0.2</f>
        <v>24.102400000000003</v>
      </c>
      <c r="AL7" s="15">
        <f>AK7*0.6</f>
        <v>14.461440000000001</v>
      </c>
      <c r="AM7" s="49">
        <v>1</v>
      </c>
      <c r="AN7" s="16">
        <v>0.95</v>
      </c>
      <c r="AO7" s="49">
        <v>1</v>
      </c>
      <c r="AP7" s="16">
        <v>1</v>
      </c>
      <c r="AQ7" s="16">
        <v>0.95</v>
      </c>
      <c r="AR7" s="16">
        <v>1</v>
      </c>
      <c r="AS7" s="16">
        <v>0.8</v>
      </c>
      <c r="AT7" s="16">
        <v>0.85</v>
      </c>
      <c r="AU7" s="16">
        <v>0.85</v>
      </c>
      <c r="AV7" s="49">
        <v>0.95</v>
      </c>
      <c r="AW7" s="16">
        <v>0.8</v>
      </c>
    </row>
    <row r="8" spans="1:49" s="17" customFormat="1" ht="41.25" customHeight="1">
      <c r="A8" s="53" t="s">
        <v>328</v>
      </c>
      <c r="B8" s="101">
        <v>7463</v>
      </c>
      <c r="C8" s="12">
        <f>B8*0.75</f>
        <v>5597.25</v>
      </c>
      <c r="D8" s="12">
        <f>B8*0.75</f>
        <v>5597.25</v>
      </c>
      <c r="E8" s="13">
        <v>12</v>
      </c>
      <c r="F8" s="13">
        <v>6</v>
      </c>
      <c r="G8" s="13">
        <v>6</v>
      </c>
      <c r="H8" s="13">
        <v>9</v>
      </c>
      <c r="I8" s="13">
        <v>12</v>
      </c>
      <c r="J8" s="14">
        <v>0.7</v>
      </c>
      <c r="K8" s="14">
        <v>0.95</v>
      </c>
      <c r="L8" s="14">
        <v>0.9</v>
      </c>
      <c r="M8" s="98">
        <f>B8*0.0447</f>
        <v>333.5961</v>
      </c>
      <c r="N8" s="114">
        <f>B8*0.0047</f>
        <v>35.076100000000004</v>
      </c>
      <c r="O8" s="15">
        <f>N8*0.9</f>
        <v>31.568490000000004</v>
      </c>
      <c r="P8" s="15">
        <f>M8*0.9</f>
        <v>300.23649</v>
      </c>
      <c r="Q8" s="15">
        <f>M8*0.85</f>
        <v>283.55668499999996</v>
      </c>
      <c r="R8" s="53" t="s">
        <v>328</v>
      </c>
      <c r="S8" s="15">
        <f>N8*0.95</f>
        <v>33.322295000000004</v>
      </c>
      <c r="T8" s="15">
        <f>N8*0.9</f>
        <v>31.568490000000004</v>
      </c>
      <c r="U8" s="15">
        <f>N8*0.95</f>
        <v>33.322295000000004</v>
      </c>
      <c r="V8" s="15">
        <f>N8*0.85</f>
        <v>29.814685</v>
      </c>
      <c r="W8" s="15">
        <f>B8*0.0882</f>
        <v>658.2366</v>
      </c>
      <c r="X8" s="15">
        <f>W8*0.7</f>
        <v>460.76561999999996</v>
      </c>
      <c r="Y8" s="15">
        <f>W8*0.7</f>
        <v>460.76561999999996</v>
      </c>
      <c r="Z8" s="15">
        <f>B8*0.52*0.188</f>
        <v>729.58288</v>
      </c>
      <c r="AA8" s="15">
        <f>Z8*0.3</f>
        <v>218.874864</v>
      </c>
      <c r="AB8" s="15">
        <f>AA8*0.35</f>
        <v>76.6062024</v>
      </c>
      <c r="AC8" s="12">
        <f>AA8*0.3</f>
        <v>65.6624592</v>
      </c>
      <c r="AD8" s="33">
        <f>B8*0.52*0.097</f>
        <v>376.43372000000005</v>
      </c>
      <c r="AE8" s="15">
        <f>AD8*0.25</f>
        <v>94.10843000000001</v>
      </c>
      <c r="AF8" s="15">
        <f>AE8*0.3</f>
        <v>28.232529000000003</v>
      </c>
      <c r="AG8" s="12">
        <f>AE8*0.2</f>
        <v>18.821686000000003</v>
      </c>
      <c r="AH8" s="53" t="s">
        <v>328</v>
      </c>
      <c r="AI8" s="15">
        <f>B8*8/1000</f>
        <v>59.704</v>
      </c>
      <c r="AJ8" s="15">
        <f>AI8*0.2</f>
        <v>11.940800000000001</v>
      </c>
      <c r="AK8" s="15">
        <f>AI8*0.2</f>
        <v>11.940800000000001</v>
      </c>
      <c r="AL8" s="15">
        <f>AK8*0.6</f>
        <v>7.16448</v>
      </c>
      <c r="AM8" s="49">
        <v>1</v>
      </c>
      <c r="AN8" s="16">
        <v>0.95</v>
      </c>
      <c r="AO8" s="49">
        <v>1</v>
      </c>
      <c r="AP8" s="16">
        <v>1</v>
      </c>
      <c r="AQ8" s="16">
        <v>0.95</v>
      </c>
      <c r="AR8" s="16">
        <v>1</v>
      </c>
      <c r="AS8" s="16">
        <v>0.8</v>
      </c>
      <c r="AT8" s="16">
        <v>0.85</v>
      </c>
      <c r="AU8" s="16">
        <v>0.85</v>
      </c>
      <c r="AV8" s="49">
        <v>0.95</v>
      </c>
      <c r="AW8" s="49">
        <v>0.8</v>
      </c>
    </row>
    <row r="9" spans="1:49" s="17" customFormat="1" ht="41.25" customHeight="1">
      <c r="A9" s="68" t="s">
        <v>156</v>
      </c>
      <c r="B9" s="102">
        <v>25660</v>
      </c>
      <c r="C9" s="12">
        <f>B9*0.75</f>
        <v>19245</v>
      </c>
      <c r="D9" s="12">
        <f>B9*0.75</f>
        <v>19245</v>
      </c>
      <c r="E9" s="13">
        <v>12</v>
      </c>
      <c r="F9" s="13">
        <v>6</v>
      </c>
      <c r="G9" s="13">
        <v>6</v>
      </c>
      <c r="H9" s="13">
        <v>9</v>
      </c>
      <c r="I9" s="13">
        <v>12</v>
      </c>
      <c r="J9" s="14">
        <v>0.7</v>
      </c>
      <c r="K9" s="14">
        <v>0.95</v>
      </c>
      <c r="L9" s="14">
        <v>0.9</v>
      </c>
      <c r="M9" s="98">
        <f>B9*0.0447</f>
        <v>1147.002</v>
      </c>
      <c r="N9" s="114">
        <f>B9*0.0047</f>
        <v>120.602</v>
      </c>
      <c r="O9" s="15">
        <f>N9*0.9</f>
        <v>108.54180000000001</v>
      </c>
      <c r="P9" s="15">
        <f>M9*0.9</f>
        <v>1032.3018</v>
      </c>
      <c r="Q9" s="15">
        <f>M9*0.85</f>
        <v>974.9517</v>
      </c>
      <c r="R9" s="68" t="s">
        <v>156</v>
      </c>
      <c r="S9" s="15">
        <f>N9*0.95</f>
        <v>114.5719</v>
      </c>
      <c r="T9" s="15">
        <f>N9*0.9</f>
        <v>108.54180000000001</v>
      </c>
      <c r="U9" s="15">
        <f>N9*0.95</f>
        <v>114.5719</v>
      </c>
      <c r="V9" s="15">
        <f>N9*0.85</f>
        <v>102.5117</v>
      </c>
      <c r="W9" s="15">
        <f>B9*0.0882</f>
        <v>2263.212</v>
      </c>
      <c r="X9" s="15">
        <f>W9*0.7</f>
        <v>1584.2484</v>
      </c>
      <c r="Y9" s="15">
        <f>W9*0.7</f>
        <v>1584.2484</v>
      </c>
      <c r="Z9" s="15">
        <f>B9*0.52*0.188</f>
        <v>2508.5216</v>
      </c>
      <c r="AA9" s="15">
        <f>Z9*0.3</f>
        <v>752.55648</v>
      </c>
      <c r="AB9" s="15">
        <f>AA9*0.35</f>
        <v>263.394768</v>
      </c>
      <c r="AC9" s="12">
        <f>AA9*0.3</f>
        <v>225.766944</v>
      </c>
      <c r="AD9" s="33">
        <f>B9*0.52*0.097</f>
        <v>1294.2904</v>
      </c>
      <c r="AE9" s="15">
        <f>AD9*0.25</f>
        <v>323.5726</v>
      </c>
      <c r="AF9" s="15">
        <f>AE9*0.3</f>
        <v>97.07178</v>
      </c>
      <c r="AG9" s="12">
        <f>AE9*0.2</f>
        <v>64.71452000000001</v>
      </c>
      <c r="AH9" s="68" t="s">
        <v>156</v>
      </c>
      <c r="AI9" s="15">
        <f>B9*8/1000</f>
        <v>205.28</v>
      </c>
      <c r="AJ9" s="15">
        <f>AI9*0.2</f>
        <v>41.056000000000004</v>
      </c>
      <c r="AK9" s="15">
        <f>AI9*0.2</f>
        <v>41.056000000000004</v>
      </c>
      <c r="AL9" s="15">
        <f>AK9*0.6</f>
        <v>24.6336</v>
      </c>
      <c r="AM9" s="49">
        <v>1</v>
      </c>
      <c r="AN9" s="16">
        <v>0.95</v>
      </c>
      <c r="AO9" s="49">
        <v>1</v>
      </c>
      <c r="AP9" s="16">
        <v>1</v>
      </c>
      <c r="AQ9" s="16">
        <v>0.95</v>
      </c>
      <c r="AR9" s="16">
        <v>1</v>
      </c>
      <c r="AS9" s="16">
        <v>0.8</v>
      </c>
      <c r="AT9" s="16">
        <v>0.85</v>
      </c>
      <c r="AU9" s="16">
        <v>0.85</v>
      </c>
      <c r="AV9" s="49">
        <v>0.95</v>
      </c>
      <c r="AW9" s="49">
        <v>0.8</v>
      </c>
    </row>
    <row r="10" spans="1:49" s="17" customFormat="1" ht="41.25" customHeight="1">
      <c r="A10" s="68" t="s">
        <v>157</v>
      </c>
      <c r="B10" s="102">
        <v>2238</v>
      </c>
      <c r="C10" s="12">
        <f>B10*0.75</f>
        <v>1678.5</v>
      </c>
      <c r="D10" s="12">
        <f>B10*0.75</f>
        <v>1678.5</v>
      </c>
      <c r="E10" s="13">
        <v>12</v>
      </c>
      <c r="F10" s="13">
        <v>6</v>
      </c>
      <c r="G10" s="13">
        <v>6</v>
      </c>
      <c r="H10" s="13">
        <v>9</v>
      </c>
      <c r="I10" s="13">
        <v>12</v>
      </c>
      <c r="J10" s="14">
        <v>0.7</v>
      </c>
      <c r="K10" s="14">
        <v>0.95</v>
      </c>
      <c r="L10" s="14">
        <v>0.9</v>
      </c>
      <c r="M10" s="98">
        <f>B10*0.0447</f>
        <v>100.03859999999999</v>
      </c>
      <c r="N10" s="114">
        <f>B10*0.0047</f>
        <v>10.518600000000001</v>
      </c>
      <c r="O10" s="15">
        <f>N10*0.9</f>
        <v>9.466740000000001</v>
      </c>
      <c r="P10" s="15">
        <f>M10*0.9</f>
        <v>90.03473999999999</v>
      </c>
      <c r="Q10" s="15">
        <f>M10*0.85</f>
        <v>85.03280999999998</v>
      </c>
      <c r="R10" s="68" t="s">
        <v>157</v>
      </c>
      <c r="S10" s="15">
        <f>N10*0.95</f>
        <v>9.99267</v>
      </c>
      <c r="T10" s="15">
        <f>N10*0.9</f>
        <v>9.466740000000001</v>
      </c>
      <c r="U10" s="15">
        <f>N10*0.95</f>
        <v>9.99267</v>
      </c>
      <c r="V10" s="15">
        <f>N10*0.85</f>
        <v>8.94081</v>
      </c>
      <c r="W10" s="15">
        <f>B10*0.0882</f>
        <v>197.3916</v>
      </c>
      <c r="X10" s="15">
        <f>W10*0.7</f>
        <v>138.17412</v>
      </c>
      <c r="Y10" s="15">
        <f>W10*0.7</f>
        <v>138.17412</v>
      </c>
      <c r="Z10" s="15">
        <f>B10*0.52*0.188</f>
        <v>218.78688</v>
      </c>
      <c r="AA10" s="15">
        <f>Z10*0.3</f>
        <v>65.63606399999999</v>
      </c>
      <c r="AB10" s="15">
        <f>AA10*0.35</f>
        <v>22.972622399999995</v>
      </c>
      <c r="AC10" s="12">
        <f>AA10*0.3</f>
        <v>19.690819199999996</v>
      </c>
      <c r="AD10" s="33">
        <f>B10*0.52*0.097</f>
        <v>112.88472</v>
      </c>
      <c r="AE10" s="15">
        <f>AD10*0.25</f>
        <v>28.22118</v>
      </c>
      <c r="AF10" s="15">
        <f>AE10*0.3</f>
        <v>8.466353999999999</v>
      </c>
      <c r="AG10" s="48">
        <f>AE10*0.2</f>
        <v>5.644236</v>
      </c>
      <c r="AH10" s="68" t="s">
        <v>157</v>
      </c>
      <c r="AI10" s="15">
        <f>B10*8/1000</f>
        <v>17.904</v>
      </c>
      <c r="AJ10" s="15">
        <f>AI10*0.2</f>
        <v>3.5808</v>
      </c>
      <c r="AK10" s="15">
        <f>AI10*0.2</f>
        <v>3.5808</v>
      </c>
      <c r="AL10" s="15">
        <f>AK10*0.6</f>
        <v>2.1484799999999997</v>
      </c>
      <c r="AM10" s="49">
        <v>1</v>
      </c>
      <c r="AN10" s="16">
        <v>0.95</v>
      </c>
      <c r="AO10" s="49">
        <v>1</v>
      </c>
      <c r="AP10" s="16">
        <v>1</v>
      </c>
      <c r="AQ10" s="16">
        <v>0.95</v>
      </c>
      <c r="AR10" s="16">
        <v>1</v>
      </c>
      <c r="AS10" s="16">
        <v>0.8</v>
      </c>
      <c r="AT10" s="16">
        <v>0.85</v>
      </c>
      <c r="AU10" s="16">
        <v>0.85</v>
      </c>
      <c r="AV10" s="49">
        <v>0.95</v>
      </c>
      <c r="AW10" s="49">
        <v>0.8</v>
      </c>
    </row>
    <row r="11" spans="1:49" s="23" customFormat="1" ht="41.25" customHeight="1">
      <c r="A11" s="62" t="s">
        <v>26</v>
      </c>
      <c r="B11" s="19">
        <f>SUM(B6:B10)</f>
        <v>68787</v>
      </c>
      <c r="C11" s="19">
        <f>SUM(C6:C10)</f>
        <v>51590.25</v>
      </c>
      <c r="D11" s="19">
        <f>SUM(D6:D10)</f>
        <v>51590.25</v>
      </c>
      <c r="E11" s="18">
        <v>12</v>
      </c>
      <c r="F11" s="18">
        <v>6</v>
      </c>
      <c r="G11" s="18">
        <f>SUM(G6:G10)</f>
        <v>30</v>
      </c>
      <c r="H11" s="18">
        <f>SUM(H6:H10)</f>
        <v>45</v>
      </c>
      <c r="I11" s="18">
        <f>SUM(I6:I10)</f>
        <v>60</v>
      </c>
      <c r="J11" s="20">
        <v>0.8</v>
      </c>
      <c r="K11" s="20">
        <v>0.95</v>
      </c>
      <c r="L11" s="20">
        <v>0.9</v>
      </c>
      <c r="M11" s="21">
        <f>SUM(M6:M10)</f>
        <v>3074.7788999999993</v>
      </c>
      <c r="N11" s="21">
        <f>SUM(N6:N10)</f>
        <v>323.2989</v>
      </c>
      <c r="O11" s="19">
        <f>SUM(O6:O10)</f>
        <v>290.96901</v>
      </c>
      <c r="P11" s="19">
        <f>SUM(P6:P10)</f>
        <v>2767.30101</v>
      </c>
      <c r="Q11" s="19">
        <f>SUM(Q6:Q10)</f>
        <v>2613.562065</v>
      </c>
      <c r="R11" s="62" t="s">
        <v>26</v>
      </c>
      <c r="S11" s="19">
        <f aca="true" t="shared" si="0" ref="S11:AG11">SUM(S6:S10)</f>
        <v>307.133955</v>
      </c>
      <c r="T11" s="19">
        <f t="shared" si="0"/>
        <v>290.96901</v>
      </c>
      <c r="U11" s="19">
        <f t="shared" si="0"/>
        <v>307.133955</v>
      </c>
      <c r="V11" s="19">
        <f t="shared" si="0"/>
        <v>274.80406500000004</v>
      </c>
      <c r="W11" s="19">
        <f t="shared" si="0"/>
        <v>6067.013400000001</v>
      </c>
      <c r="X11" s="19">
        <f t="shared" si="0"/>
        <v>4246.909379999999</v>
      </c>
      <c r="Y11" s="19">
        <f t="shared" si="0"/>
        <v>4246.909379999999</v>
      </c>
      <c r="Z11" s="19">
        <f t="shared" si="0"/>
        <v>6724.61712</v>
      </c>
      <c r="AA11" s="19">
        <f t="shared" si="0"/>
        <v>2017.3851359999999</v>
      </c>
      <c r="AB11" s="19">
        <f t="shared" si="0"/>
        <v>706.0847976</v>
      </c>
      <c r="AC11" s="22">
        <f t="shared" si="0"/>
        <v>605.2155408</v>
      </c>
      <c r="AD11" s="19">
        <f t="shared" si="0"/>
        <v>3469.61628</v>
      </c>
      <c r="AE11" s="19">
        <f t="shared" si="0"/>
        <v>867.40407</v>
      </c>
      <c r="AF11" s="22">
        <f t="shared" si="0"/>
        <v>260.22122100000007</v>
      </c>
      <c r="AG11" s="22">
        <f t="shared" si="0"/>
        <v>173.48081400000004</v>
      </c>
      <c r="AH11" s="62" t="s">
        <v>26</v>
      </c>
      <c r="AI11" s="22">
        <f>SUM(AI6:AI10)</f>
        <v>550.296</v>
      </c>
      <c r="AJ11" s="22">
        <f>SUM(AJ6:AJ10)</f>
        <v>110.05919999999999</v>
      </c>
      <c r="AK11" s="22">
        <f>SUM(AK6:AK10)</f>
        <v>110.05919999999999</v>
      </c>
      <c r="AL11" s="22">
        <f>SUM(AL6:AL10)</f>
        <v>66.03552</v>
      </c>
      <c r="AM11" s="49">
        <v>1</v>
      </c>
      <c r="AN11" s="16">
        <v>0.95</v>
      </c>
      <c r="AO11" s="49">
        <v>1</v>
      </c>
      <c r="AP11" s="16">
        <v>1</v>
      </c>
      <c r="AQ11" s="16">
        <v>0.95</v>
      </c>
      <c r="AR11" s="16">
        <v>1</v>
      </c>
      <c r="AS11" s="16">
        <v>0.8</v>
      </c>
      <c r="AT11" s="16">
        <v>0.85</v>
      </c>
      <c r="AU11" s="16">
        <v>0.85</v>
      </c>
      <c r="AV11" s="49">
        <v>0.95</v>
      </c>
      <c r="AW11" s="49">
        <v>0.8</v>
      </c>
    </row>
    <row r="12" spans="1:49" s="26" customFormat="1" ht="16.5" customHeight="1">
      <c r="A12" s="69" t="s">
        <v>85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24"/>
      <c r="AK12" s="24"/>
      <c r="AL12" s="24"/>
      <c r="AM12" s="104"/>
      <c r="AN12" s="105"/>
      <c r="AO12" s="104"/>
      <c r="AP12" s="105"/>
      <c r="AQ12" s="105"/>
      <c r="AR12" s="105"/>
      <c r="AS12" s="105"/>
      <c r="AT12" s="105"/>
      <c r="AU12" s="105"/>
      <c r="AV12" s="104"/>
      <c r="AW12" s="104"/>
    </row>
    <row r="13" spans="12:49" ht="14.25">
      <c r="L13" s="64"/>
      <c r="AM13" s="106"/>
      <c r="AN13" s="107"/>
      <c r="AO13" s="106"/>
      <c r="AP13" s="107"/>
      <c r="AQ13" s="107"/>
      <c r="AR13" s="107"/>
      <c r="AS13" s="107"/>
      <c r="AT13" s="107"/>
      <c r="AU13" s="107"/>
      <c r="AV13" s="106"/>
      <c r="AW13" s="106"/>
    </row>
    <row r="14" spans="12:49" ht="14.25">
      <c r="L14" s="64"/>
      <c r="AM14" s="106"/>
      <c r="AN14" s="107"/>
      <c r="AO14" s="106"/>
      <c r="AP14" s="107"/>
      <c r="AQ14" s="107"/>
      <c r="AR14" s="107"/>
      <c r="AS14" s="107"/>
      <c r="AT14" s="107"/>
      <c r="AU14" s="107"/>
      <c r="AV14" s="106"/>
      <c r="AW14" s="106"/>
    </row>
    <row r="15" spans="39:49" ht="14.25"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6"/>
    </row>
    <row r="16" ht="14.25">
      <c r="AW16" s="108"/>
    </row>
  </sheetData>
  <sheetProtection/>
  <mergeCells count="58">
    <mergeCell ref="AI3:AL3"/>
    <mergeCell ref="C4:C5"/>
    <mergeCell ref="D4:D5"/>
    <mergeCell ref="E4:E5"/>
    <mergeCell ref="F4:F5"/>
    <mergeCell ref="G4:G5"/>
    <mergeCell ref="H4:H5"/>
    <mergeCell ref="I4:I5"/>
    <mergeCell ref="K3:L3"/>
    <mergeCell ref="M3:Q3"/>
    <mergeCell ref="B3:B5"/>
    <mergeCell ref="C3:D3"/>
    <mergeCell ref="E3:J3"/>
    <mergeCell ref="J4:J5"/>
    <mergeCell ref="S3:V3"/>
    <mergeCell ref="K4:K5"/>
    <mergeCell ref="L4:L5"/>
    <mergeCell ref="M4:M5"/>
    <mergeCell ref="N4:N5"/>
    <mergeCell ref="O4:O5"/>
    <mergeCell ref="P4:P5"/>
    <mergeCell ref="Q4:Q5"/>
    <mergeCell ref="S4:S5"/>
    <mergeCell ref="T4:T5"/>
    <mergeCell ref="W3:Y3"/>
    <mergeCell ref="Z3:AC3"/>
    <mergeCell ref="AD3:AG3"/>
    <mergeCell ref="W4:W5"/>
    <mergeCell ref="X4:X5"/>
    <mergeCell ref="Y4:Y5"/>
    <mergeCell ref="Z4:Z5"/>
    <mergeCell ref="AA4:AA5"/>
    <mergeCell ref="AB4:AB5"/>
    <mergeCell ref="AC4:AC5"/>
    <mergeCell ref="U4:U5"/>
    <mergeCell ref="V4:V5"/>
    <mergeCell ref="AD4:AD5"/>
    <mergeCell ref="AE4:AE5"/>
    <mergeCell ref="AF4:AF5"/>
    <mergeCell ref="AG4:AG5"/>
    <mergeCell ref="AI4:AI5"/>
    <mergeCell ref="AJ4:AJ5"/>
    <mergeCell ref="AK4:AK5"/>
    <mergeCell ref="AL4:AL5"/>
    <mergeCell ref="AO4:AO5"/>
    <mergeCell ref="AP4:AP5"/>
    <mergeCell ref="AM4:AM5"/>
    <mergeCell ref="AN4:AN5"/>
    <mergeCell ref="AQ4:AQ5"/>
    <mergeCell ref="AR4:AR5"/>
    <mergeCell ref="AW3:AW5"/>
    <mergeCell ref="A1:P1"/>
    <mergeCell ref="R1:AG1"/>
    <mergeCell ref="AS4:AS5"/>
    <mergeCell ref="AT4:AT5"/>
    <mergeCell ref="AU4:AU5"/>
    <mergeCell ref="AV4:AV5"/>
    <mergeCell ref="AM3:AU3"/>
  </mergeCells>
  <printOptions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AW16"/>
  <sheetViews>
    <sheetView workbookViewId="0" topLeftCell="A1">
      <selection activeCell="AO8" sqref="AO8"/>
    </sheetView>
  </sheetViews>
  <sheetFormatPr defaultColWidth="9.00390625" defaultRowHeight="14.25"/>
  <cols>
    <col min="1" max="1" width="10.00390625" style="63" customWidth="1"/>
    <col min="2" max="2" width="7.875" style="1" customWidth="1"/>
    <col min="3" max="4" width="7.00390625" style="3" customWidth="1"/>
    <col min="5" max="9" width="6.375" style="3" customWidth="1"/>
    <col min="10" max="12" width="7.00390625" style="3" customWidth="1"/>
    <col min="13" max="14" width="7.625" style="1" customWidth="1"/>
    <col min="15" max="15" width="7.625" style="6" customWidth="1"/>
    <col min="16" max="17" width="7.625" style="7" customWidth="1"/>
    <col min="18" max="18" width="9.875" style="7" customWidth="1"/>
    <col min="19" max="19" width="7.125" style="4" customWidth="1"/>
    <col min="20" max="20" width="9.625" style="4" customWidth="1"/>
    <col min="21" max="21" width="7.25390625" style="4" customWidth="1"/>
    <col min="22" max="22" width="7.25390625" style="7" customWidth="1"/>
    <col min="23" max="23" width="7.625" style="29" customWidth="1"/>
    <col min="24" max="25" width="7.625" style="4" customWidth="1"/>
    <col min="26" max="26" width="6.75390625" style="2" customWidth="1"/>
    <col min="27" max="28" width="6.75390625" style="4" customWidth="1"/>
    <col min="29" max="29" width="6.75390625" style="8" customWidth="1"/>
    <col min="30" max="30" width="7.25390625" style="30" customWidth="1"/>
    <col min="31" max="32" width="7.25390625" style="8" customWidth="1"/>
    <col min="33" max="33" width="7.25390625" style="4" customWidth="1"/>
    <col min="34" max="34" width="12.375" style="4" customWidth="1"/>
    <col min="35" max="35" width="12.00390625" style="30" customWidth="1"/>
    <col min="36" max="36" width="12.00390625" style="4" customWidth="1"/>
    <col min="37" max="38" width="12.00390625" style="8" customWidth="1"/>
    <col min="39" max="40" width="12.00390625" style="3" customWidth="1"/>
    <col min="41" max="41" width="13.625" style="3" customWidth="1"/>
    <col min="42" max="43" width="12.00390625" style="3" customWidth="1"/>
    <col min="44" max="16384" width="9.00390625" style="3" customWidth="1"/>
  </cols>
  <sheetData>
    <row r="1" spans="1:49" s="28" customFormat="1" ht="22.5" customHeight="1">
      <c r="A1" s="136" t="s">
        <v>335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 t="s">
        <v>340</v>
      </c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 t="s">
        <v>340</v>
      </c>
      <c r="AI1" s="136"/>
      <c r="AJ1" s="136"/>
      <c r="AK1" s="136"/>
      <c r="AL1" s="136"/>
      <c r="AM1" s="136"/>
      <c r="AN1" s="136"/>
      <c r="AO1" s="136"/>
      <c r="AP1" s="136"/>
      <c r="AQ1" s="136"/>
      <c r="AR1" s="27"/>
      <c r="AS1" s="27"/>
      <c r="AT1" s="27"/>
      <c r="AU1" s="27"/>
      <c r="AV1" s="27"/>
      <c r="AW1" s="27"/>
    </row>
    <row r="2" spans="1:38" s="4" customFormat="1" ht="15" customHeight="1">
      <c r="A2" s="31" t="s">
        <v>322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51"/>
      <c r="N2" s="51"/>
      <c r="O2" s="51"/>
      <c r="P2" s="51"/>
      <c r="Q2" s="5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9"/>
      <c r="AD2" s="137"/>
      <c r="AE2" s="137"/>
      <c r="AF2" s="137"/>
      <c r="AG2" s="138"/>
      <c r="AH2" s="138"/>
      <c r="AI2" s="137"/>
      <c r="AJ2" s="9"/>
      <c r="AK2" s="10"/>
      <c r="AL2" s="10"/>
    </row>
    <row r="3" spans="1:49" s="11" customFormat="1" ht="17.25" customHeight="1">
      <c r="A3" s="159" t="s">
        <v>118</v>
      </c>
      <c r="B3" s="139" t="s">
        <v>119</v>
      </c>
      <c r="C3" s="123" t="s">
        <v>120</v>
      </c>
      <c r="D3" s="123"/>
      <c r="E3" s="122" t="s">
        <v>121</v>
      </c>
      <c r="F3" s="123"/>
      <c r="G3" s="123"/>
      <c r="H3" s="123"/>
      <c r="I3" s="123"/>
      <c r="J3" s="128"/>
      <c r="K3" s="123" t="s">
        <v>31</v>
      </c>
      <c r="L3" s="123"/>
      <c r="M3" s="122" t="s">
        <v>122</v>
      </c>
      <c r="N3" s="123"/>
      <c r="O3" s="123"/>
      <c r="P3" s="123"/>
      <c r="Q3" s="128"/>
      <c r="R3" s="157" t="s">
        <v>118</v>
      </c>
      <c r="S3" s="122" t="s">
        <v>123</v>
      </c>
      <c r="T3" s="123"/>
      <c r="U3" s="123"/>
      <c r="V3" s="123"/>
      <c r="W3" s="122" t="s">
        <v>124</v>
      </c>
      <c r="X3" s="123"/>
      <c r="Y3" s="123"/>
      <c r="Z3" s="122" t="s">
        <v>125</v>
      </c>
      <c r="AA3" s="123"/>
      <c r="AB3" s="123"/>
      <c r="AC3" s="123"/>
      <c r="AD3" s="122" t="s">
        <v>126</v>
      </c>
      <c r="AE3" s="123"/>
      <c r="AF3" s="123"/>
      <c r="AG3" s="128"/>
      <c r="AH3" s="157" t="s">
        <v>118</v>
      </c>
      <c r="AI3" s="119" t="s">
        <v>127</v>
      </c>
      <c r="AJ3" s="120"/>
      <c r="AK3" s="120"/>
      <c r="AL3" s="121"/>
      <c r="AM3" s="123" t="s">
        <v>336</v>
      </c>
      <c r="AN3" s="123"/>
      <c r="AO3" s="123"/>
      <c r="AP3" s="123"/>
      <c r="AQ3" s="123"/>
      <c r="AR3" s="123"/>
      <c r="AS3" s="123"/>
      <c r="AT3" s="123"/>
      <c r="AU3" s="128"/>
      <c r="AV3" s="151" t="s">
        <v>338</v>
      </c>
      <c r="AW3" s="153" t="s">
        <v>48</v>
      </c>
    </row>
    <row r="4" spans="1:49" s="5" customFormat="1" ht="17.25" customHeight="1">
      <c r="A4" s="160"/>
      <c r="B4" s="140"/>
      <c r="C4" s="125"/>
      <c r="D4" s="125"/>
      <c r="E4" s="124"/>
      <c r="F4" s="125"/>
      <c r="G4" s="125"/>
      <c r="H4" s="125"/>
      <c r="I4" s="125"/>
      <c r="J4" s="129"/>
      <c r="K4" s="125"/>
      <c r="L4" s="125"/>
      <c r="M4" s="124"/>
      <c r="N4" s="125"/>
      <c r="O4" s="125"/>
      <c r="P4" s="125"/>
      <c r="Q4" s="129"/>
      <c r="R4" s="158"/>
      <c r="S4" s="124"/>
      <c r="T4" s="125"/>
      <c r="U4" s="125"/>
      <c r="V4" s="125"/>
      <c r="W4" s="124"/>
      <c r="X4" s="125"/>
      <c r="Y4" s="125"/>
      <c r="Z4" s="124"/>
      <c r="AA4" s="125"/>
      <c r="AB4" s="125"/>
      <c r="AC4" s="125"/>
      <c r="AD4" s="124"/>
      <c r="AE4" s="125"/>
      <c r="AF4" s="125"/>
      <c r="AG4" s="129"/>
      <c r="AH4" s="158"/>
      <c r="AI4" s="141"/>
      <c r="AJ4" s="142"/>
      <c r="AK4" s="142"/>
      <c r="AL4" s="143"/>
      <c r="AM4" s="125"/>
      <c r="AN4" s="125"/>
      <c r="AO4" s="125"/>
      <c r="AP4" s="125"/>
      <c r="AQ4" s="125"/>
      <c r="AR4" s="125"/>
      <c r="AS4" s="125"/>
      <c r="AT4" s="125"/>
      <c r="AU4" s="129"/>
      <c r="AV4" s="152"/>
      <c r="AW4" s="154"/>
    </row>
    <row r="5" spans="1:49" s="5" customFormat="1" ht="26.25" customHeight="1">
      <c r="A5" s="52"/>
      <c r="B5" s="140"/>
      <c r="C5" s="132" t="s">
        <v>128</v>
      </c>
      <c r="D5" s="126" t="s">
        <v>129</v>
      </c>
      <c r="E5" s="144" t="s">
        <v>130</v>
      </c>
      <c r="F5" s="126" t="s">
        <v>131</v>
      </c>
      <c r="G5" s="144" t="s">
        <v>341</v>
      </c>
      <c r="H5" s="126" t="s">
        <v>132</v>
      </c>
      <c r="I5" s="126" t="s">
        <v>133</v>
      </c>
      <c r="J5" s="126" t="s">
        <v>134</v>
      </c>
      <c r="K5" s="126" t="s">
        <v>135</v>
      </c>
      <c r="L5" s="132" t="s">
        <v>136</v>
      </c>
      <c r="M5" s="149" t="s">
        <v>137</v>
      </c>
      <c r="N5" s="149" t="s">
        <v>138</v>
      </c>
      <c r="O5" s="149" t="s">
        <v>139</v>
      </c>
      <c r="P5" s="149" t="s">
        <v>140</v>
      </c>
      <c r="Q5" s="149" t="s">
        <v>141</v>
      </c>
      <c r="R5" s="52"/>
      <c r="S5" s="126" t="s">
        <v>67</v>
      </c>
      <c r="T5" s="126" t="s">
        <v>68</v>
      </c>
      <c r="U5" s="126" t="s">
        <v>69</v>
      </c>
      <c r="V5" s="145" t="s">
        <v>70</v>
      </c>
      <c r="W5" s="126" t="s">
        <v>71</v>
      </c>
      <c r="X5" s="126" t="s">
        <v>72</v>
      </c>
      <c r="Y5" s="126" t="s">
        <v>73</v>
      </c>
      <c r="Z5" s="126" t="s">
        <v>74</v>
      </c>
      <c r="AA5" s="126" t="s">
        <v>75</v>
      </c>
      <c r="AB5" s="126" t="s">
        <v>76</v>
      </c>
      <c r="AC5" s="147" t="s">
        <v>77</v>
      </c>
      <c r="AD5" s="149" t="s">
        <v>78</v>
      </c>
      <c r="AE5" s="149" t="s">
        <v>75</v>
      </c>
      <c r="AF5" s="149" t="s">
        <v>79</v>
      </c>
      <c r="AG5" s="156" t="s">
        <v>80</v>
      </c>
      <c r="AH5" s="52"/>
      <c r="AI5" s="149" t="s">
        <v>142</v>
      </c>
      <c r="AJ5" s="149" t="s">
        <v>143</v>
      </c>
      <c r="AK5" s="126" t="s">
        <v>144</v>
      </c>
      <c r="AL5" s="126" t="s">
        <v>145</v>
      </c>
      <c r="AM5" s="144" t="s">
        <v>18</v>
      </c>
      <c r="AN5" s="144" t="s">
        <v>19</v>
      </c>
      <c r="AO5" s="144" t="s">
        <v>20</v>
      </c>
      <c r="AP5" s="126" t="s">
        <v>329</v>
      </c>
      <c r="AQ5" s="126" t="s">
        <v>330</v>
      </c>
      <c r="AR5" s="126" t="s">
        <v>331</v>
      </c>
      <c r="AS5" s="126" t="s">
        <v>332</v>
      </c>
      <c r="AT5" s="126" t="s">
        <v>333</v>
      </c>
      <c r="AU5" s="126" t="s">
        <v>334</v>
      </c>
      <c r="AV5" s="144" t="s">
        <v>21</v>
      </c>
      <c r="AW5" s="154"/>
    </row>
    <row r="6" spans="1:49" s="5" customFormat="1" ht="54" customHeight="1">
      <c r="A6" s="53" t="s">
        <v>81</v>
      </c>
      <c r="B6" s="118"/>
      <c r="C6" s="133"/>
      <c r="D6" s="127"/>
      <c r="E6" s="144"/>
      <c r="F6" s="127"/>
      <c r="G6" s="144"/>
      <c r="H6" s="127"/>
      <c r="I6" s="127"/>
      <c r="J6" s="127"/>
      <c r="K6" s="127"/>
      <c r="L6" s="133"/>
      <c r="M6" s="127"/>
      <c r="N6" s="127"/>
      <c r="O6" s="127"/>
      <c r="P6" s="127"/>
      <c r="Q6" s="127"/>
      <c r="R6" s="54" t="s">
        <v>81</v>
      </c>
      <c r="S6" s="127"/>
      <c r="T6" s="127"/>
      <c r="U6" s="127"/>
      <c r="V6" s="146"/>
      <c r="W6" s="127"/>
      <c r="X6" s="127"/>
      <c r="Y6" s="127"/>
      <c r="Z6" s="127"/>
      <c r="AA6" s="127"/>
      <c r="AB6" s="127"/>
      <c r="AC6" s="148"/>
      <c r="AD6" s="127"/>
      <c r="AE6" s="127"/>
      <c r="AF6" s="127"/>
      <c r="AG6" s="148"/>
      <c r="AH6" s="54" t="s">
        <v>81</v>
      </c>
      <c r="AI6" s="127"/>
      <c r="AJ6" s="127"/>
      <c r="AK6" s="127"/>
      <c r="AL6" s="127"/>
      <c r="AM6" s="144"/>
      <c r="AN6" s="144"/>
      <c r="AO6" s="144"/>
      <c r="AP6" s="127"/>
      <c r="AQ6" s="127"/>
      <c r="AR6" s="127"/>
      <c r="AS6" s="127"/>
      <c r="AT6" s="127"/>
      <c r="AU6" s="127"/>
      <c r="AV6" s="144"/>
      <c r="AW6" s="155"/>
    </row>
    <row r="7" spans="1:49" s="17" customFormat="1" ht="56.25" customHeight="1">
      <c r="A7" s="70" t="s">
        <v>186</v>
      </c>
      <c r="B7" s="71">
        <v>4000</v>
      </c>
      <c r="C7" s="12">
        <f>B7*0.75</f>
        <v>3000</v>
      </c>
      <c r="D7" s="12">
        <f>B7*0.75</f>
        <v>3000</v>
      </c>
      <c r="E7" s="13">
        <v>12</v>
      </c>
      <c r="F7" s="13">
        <v>6</v>
      </c>
      <c r="G7" s="13">
        <v>6</v>
      </c>
      <c r="H7" s="13">
        <v>9</v>
      </c>
      <c r="I7" s="13">
        <v>12</v>
      </c>
      <c r="J7" s="14">
        <v>0.8</v>
      </c>
      <c r="K7" s="14">
        <v>0.95</v>
      </c>
      <c r="L7" s="14">
        <v>0.9</v>
      </c>
      <c r="M7" s="98">
        <f>B7*0.0096</f>
        <v>38.4</v>
      </c>
      <c r="N7" s="98">
        <f>B7*0.0023</f>
        <v>9.2</v>
      </c>
      <c r="O7" s="15">
        <f>N7*0.9</f>
        <v>8.28</v>
      </c>
      <c r="P7" s="15">
        <f>M7*0.9</f>
        <v>34.56</v>
      </c>
      <c r="Q7" s="15">
        <f>M7*0.85</f>
        <v>32.64</v>
      </c>
      <c r="R7" s="70" t="s">
        <v>186</v>
      </c>
      <c r="S7" s="15">
        <f>N7*0.95</f>
        <v>8.739999999999998</v>
      </c>
      <c r="T7" s="15">
        <f>N7*0.9</f>
        <v>8.28</v>
      </c>
      <c r="U7" s="15">
        <f>N7*0.95</f>
        <v>8.739999999999998</v>
      </c>
      <c r="V7" s="15">
        <f>N7*0.85</f>
        <v>7.819999999999999</v>
      </c>
      <c r="W7" s="19">
        <f>B7*0.0882</f>
        <v>352.8</v>
      </c>
      <c r="X7" s="15">
        <f>W7*0.7</f>
        <v>246.95999999999998</v>
      </c>
      <c r="Y7" s="15">
        <f>W7*0.7</f>
        <v>246.95999999999998</v>
      </c>
      <c r="Z7" s="19">
        <f>B7*0.52*0.188</f>
        <v>391.04</v>
      </c>
      <c r="AA7" s="15">
        <f>Z7*0.3</f>
        <v>117.312</v>
      </c>
      <c r="AB7" s="15">
        <f>AA7*0.35</f>
        <v>41.0592</v>
      </c>
      <c r="AC7" s="12">
        <f>AA7*0.3</f>
        <v>35.193599999999996</v>
      </c>
      <c r="AD7" s="58">
        <f>B7*0.52*0.097</f>
        <v>201.76000000000002</v>
      </c>
      <c r="AE7" s="15">
        <f>AD7*0.25</f>
        <v>50.440000000000005</v>
      </c>
      <c r="AF7" s="15">
        <f>AE7*0.3</f>
        <v>15.132000000000001</v>
      </c>
      <c r="AG7" s="48">
        <f>AE7*0.2</f>
        <v>10.088000000000001</v>
      </c>
      <c r="AH7" s="70" t="s">
        <v>186</v>
      </c>
      <c r="AI7" s="19">
        <f>B7*8/1000</f>
        <v>32</v>
      </c>
      <c r="AJ7" s="15">
        <f>AI7*0.2</f>
        <v>6.4</v>
      </c>
      <c r="AK7" s="15">
        <f>AI7*0.2</f>
        <v>6.4</v>
      </c>
      <c r="AL7" s="15">
        <f>AK7*0.6</f>
        <v>3.84</v>
      </c>
      <c r="AM7" s="16">
        <v>1</v>
      </c>
      <c r="AN7" s="16">
        <v>0.95</v>
      </c>
      <c r="AO7" s="16">
        <v>1</v>
      </c>
      <c r="AP7" s="16">
        <v>1</v>
      </c>
      <c r="AQ7" s="16">
        <v>0.95</v>
      </c>
      <c r="AR7" s="16">
        <v>1</v>
      </c>
      <c r="AS7" s="16">
        <v>0.8</v>
      </c>
      <c r="AT7" s="16">
        <v>0.85</v>
      </c>
      <c r="AU7" s="16">
        <v>0.85</v>
      </c>
      <c r="AV7" s="16">
        <v>0.95</v>
      </c>
      <c r="AW7" s="16">
        <v>0.8</v>
      </c>
    </row>
    <row r="8" spans="1:49" s="17" customFormat="1" ht="56.25" customHeight="1">
      <c r="A8" s="70" t="s">
        <v>323</v>
      </c>
      <c r="B8" s="71">
        <v>8000</v>
      </c>
      <c r="C8" s="12">
        <f>B8*0.75</f>
        <v>6000</v>
      </c>
      <c r="D8" s="12">
        <f>B8*0.75</f>
        <v>6000</v>
      </c>
      <c r="E8" s="13">
        <v>12</v>
      </c>
      <c r="F8" s="13">
        <v>6</v>
      </c>
      <c r="G8" s="13">
        <v>6</v>
      </c>
      <c r="H8" s="13">
        <v>9</v>
      </c>
      <c r="I8" s="13">
        <v>12</v>
      </c>
      <c r="J8" s="14">
        <v>0.8</v>
      </c>
      <c r="K8" s="14">
        <v>0.95</v>
      </c>
      <c r="L8" s="14">
        <v>0.9</v>
      </c>
      <c r="M8" s="98">
        <f>B8*0.0096</f>
        <v>76.8</v>
      </c>
      <c r="N8" s="98">
        <f>B8*0.0023</f>
        <v>18.4</v>
      </c>
      <c r="O8" s="15">
        <f>N8*0.9</f>
        <v>16.56</v>
      </c>
      <c r="P8" s="15">
        <f>M8*0.9</f>
        <v>69.12</v>
      </c>
      <c r="Q8" s="15">
        <f>M8*0.85</f>
        <v>65.28</v>
      </c>
      <c r="R8" s="70" t="s">
        <v>324</v>
      </c>
      <c r="S8" s="15">
        <f>N8*0.95</f>
        <v>17.479999999999997</v>
      </c>
      <c r="T8" s="15">
        <f>N8*0.9</f>
        <v>16.56</v>
      </c>
      <c r="U8" s="15">
        <f>N8*0.95</f>
        <v>17.479999999999997</v>
      </c>
      <c r="V8" s="15">
        <f>N8*0.85</f>
        <v>15.639999999999999</v>
      </c>
      <c r="W8" s="19">
        <f>B8*0.0882</f>
        <v>705.6</v>
      </c>
      <c r="X8" s="15">
        <f>W8*0.7</f>
        <v>493.91999999999996</v>
      </c>
      <c r="Y8" s="15">
        <f>W8*0.7</f>
        <v>493.91999999999996</v>
      </c>
      <c r="Z8" s="19">
        <f>B8*0.52*0.188</f>
        <v>782.08</v>
      </c>
      <c r="AA8" s="15">
        <f>Z8*0.3</f>
        <v>234.624</v>
      </c>
      <c r="AB8" s="15">
        <f>AA8*0.35</f>
        <v>82.1184</v>
      </c>
      <c r="AC8" s="12">
        <f>AA8*0.3</f>
        <v>70.38719999999999</v>
      </c>
      <c r="AD8" s="58">
        <f>B8*0.52*0.097</f>
        <v>403.52000000000004</v>
      </c>
      <c r="AE8" s="15">
        <f>AD8*0.25</f>
        <v>100.88000000000001</v>
      </c>
      <c r="AF8" s="15">
        <f>AE8*0.3</f>
        <v>30.264000000000003</v>
      </c>
      <c r="AG8" s="48">
        <f>AE8*0.2</f>
        <v>20.176000000000002</v>
      </c>
      <c r="AH8" s="70" t="s">
        <v>324</v>
      </c>
      <c r="AI8" s="19">
        <f>B8*8/1000</f>
        <v>64</v>
      </c>
      <c r="AJ8" s="15">
        <f>AI8*0.2</f>
        <v>12.8</v>
      </c>
      <c r="AK8" s="15">
        <f>AI8*0.2</f>
        <v>12.8</v>
      </c>
      <c r="AL8" s="15">
        <f>AK8*0.6</f>
        <v>7.68</v>
      </c>
      <c r="AM8" s="49">
        <v>1</v>
      </c>
      <c r="AN8" s="16">
        <v>0.95</v>
      </c>
      <c r="AO8" s="49">
        <v>1</v>
      </c>
      <c r="AP8" s="16">
        <v>1</v>
      </c>
      <c r="AQ8" s="16">
        <v>0.95</v>
      </c>
      <c r="AR8" s="16">
        <v>1</v>
      </c>
      <c r="AS8" s="16">
        <v>0.8</v>
      </c>
      <c r="AT8" s="16">
        <v>0.85</v>
      </c>
      <c r="AU8" s="16">
        <v>0.85</v>
      </c>
      <c r="AV8" s="49">
        <v>0.95</v>
      </c>
      <c r="AW8" s="49">
        <v>0.8</v>
      </c>
    </row>
    <row r="9" spans="1:49" s="100" customFormat="1" ht="56.25" customHeight="1">
      <c r="A9" s="93" t="s">
        <v>152</v>
      </c>
      <c r="B9" s="93">
        <v>12000</v>
      </c>
      <c r="C9" s="22">
        <f>SUM(C7:C8)</f>
        <v>9000</v>
      </c>
      <c r="D9" s="22">
        <f aca="true" t="shared" si="0" ref="D9:I9">SUM(D7:D8)</f>
        <v>9000</v>
      </c>
      <c r="E9" s="22">
        <v>12</v>
      </c>
      <c r="F9" s="22">
        <v>6</v>
      </c>
      <c r="G9" s="22">
        <f t="shared" si="0"/>
        <v>12</v>
      </c>
      <c r="H9" s="22">
        <f t="shared" si="0"/>
        <v>18</v>
      </c>
      <c r="I9" s="22">
        <f t="shared" si="0"/>
        <v>24</v>
      </c>
      <c r="J9" s="20">
        <v>0.8</v>
      </c>
      <c r="K9" s="20">
        <v>0.95</v>
      </c>
      <c r="L9" s="20">
        <v>0.9</v>
      </c>
      <c r="M9" s="99">
        <f>SUM(M7:M8)</f>
        <v>115.19999999999999</v>
      </c>
      <c r="N9" s="99">
        <v>27</v>
      </c>
      <c r="O9" s="99">
        <f>SUM(O7:O8)</f>
        <v>24.839999999999996</v>
      </c>
      <c r="P9" s="99">
        <f>SUM(P7:P8)</f>
        <v>103.68</v>
      </c>
      <c r="Q9" s="99">
        <f>SUM(Q7:Q8)</f>
        <v>97.92</v>
      </c>
      <c r="R9" s="93" t="s">
        <v>152</v>
      </c>
      <c r="S9" s="19">
        <f>SUM(S7:S8)</f>
        <v>26.219999999999995</v>
      </c>
      <c r="T9" s="19">
        <f aca="true" t="shared" si="1" ref="T9:AG9">SUM(T7:T8)</f>
        <v>24.839999999999996</v>
      </c>
      <c r="U9" s="19">
        <f t="shared" si="1"/>
        <v>26.219999999999995</v>
      </c>
      <c r="V9" s="19">
        <v>24</v>
      </c>
      <c r="W9" s="19">
        <v>1059</v>
      </c>
      <c r="X9" s="19">
        <f t="shared" si="1"/>
        <v>740.8799999999999</v>
      </c>
      <c r="Y9" s="19">
        <f t="shared" si="1"/>
        <v>740.8799999999999</v>
      </c>
      <c r="Z9" s="19">
        <f t="shared" si="1"/>
        <v>1173.1200000000001</v>
      </c>
      <c r="AA9" s="19">
        <f t="shared" si="1"/>
        <v>351.936</v>
      </c>
      <c r="AB9" s="19">
        <f t="shared" si="1"/>
        <v>123.17759999999998</v>
      </c>
      <c r="AC9" s="19">
        <v>105</v>
      </c>
      <c r="AD9" s="19">
        <f t="shared" si="1"/>
        <v>605.2800000000001</v>
      </c>
      <c r="AE9" s="19">
        <f t="shared" si="1"/>
        <v>151.32000000000002</v>
      </c>
      <c r="AF9" s="19">
        <f t="shared" si="1"/>
        <v>45.396</v>
      </c>
      <c r="AG9" s="19">
        <f t="shared" si="1"/>
        <v>30.264000000000003</v>
      </c>
      <c r="AH9" s="93" t="s">
        <v>152</v>
      </c>
      <c r="AI9" s="19">
        <f>B9*8/1000</f>
        <v>96</v>
      </c>
      <c r="AJ9" s="19">
        <f>AI9*0.2</f>
        <v>19.200000000000003</v>
      </c>
      <c r="AK9" s="19">
        <f>AI9*0.2</f>
        <v>19.200000000000003</v>
      </c>
      <c r="AL9" s="19">
        <f>AK9*0.6</f>
        <v>11.520000000000001</v>
      </c>
      <c r="AM9" s="109">
        <v>1</v>
      </c>
      <c r="AN9" s="50">
        <v>0.95</v>
      </c>
      <c r="AO9" s="109">
        <v>1</v>
      </c>
      <c r="AP9" s="50">
        <v>1</v>
      </c>
      <c r="AQ9" s="50">
        <v>0.95</v>
      </c>
      <c r="AR9" s="50">
        <v>1</v>
      </c>
      <c r="AS9" s="50">
        <v>0.8</v>
      </c>
      <c r="AT9" s="50">
        <v>0.85</v>
      </c>
      <c r="AU9" s="50">
        <v>0.85</v>
      </c>
      <c r="AV9" s="109">
        <v>0.95</v>
      </c>
      <c r="AW9" s="109">
        <v>0.8</v>
      </c>
    </row>
    <row r="10" spans="1:49" s="26" customFormat="1" ht="29.25" customHeight="1">
      <c r="A10" s="168" t="s">
        <v>153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24"/>
      <c r="AK10" s="24"/>
      <c r="AL10" s="24"/>
      <c r="AM10" s="104"/>
      <c r="AN10" s="105"/>
      <c r="AO10" s="104"/>
      <c r="AP10" s="105"/>
      <c r="AQ10" s="105"/>
      <c r="AR10" s="105"/>
      <c r="AS10" s="105"/>
      <c r="AT10" s="105"/>
      <c r="AU10" s="105"/>
      <c r="AV10" s="104"/>
      <c r="AW10" s="104"/>
    </row>
    <row r="11" spans="12:49" ht="14.25">
      <c r="L11" s="64"/>
      <c r="AM11" s="106"/>
      <c r="AN11" s="107"/>
      <c r="AO11" s="106"/>
      <c r="AP11" s="107"/>
      <c r="AQ11" s="107"/>
      <c r="AR11" s="107"/>
      <c r="AS11" s="107"/>
      <c r="AT11" s="107"/>
      <c r="AU11" s="107"/>
      <c r="AV11" s="106"/>
      <c r="AW11" s="106"/>
    </row>
    <row r="12" spans="12:49" ht="14.25">
      <c r="L12" s="64"/>
      <c r="AM12" s="106"/>
      <c r="AN12" s="107"/>
      <c r="AO12" s="106"/>
      <c r="AP12" s="107"/>
      <c r="AQ12" s="107"/>
      <c r="AR12" s="107"/>
      <c r="AS12" s="107"/>
      <c r="AT12" s="107"/>
      <c r="AU12" s="107"/>
      <c r="AV12" s="106"/>
      <c r="AW12" s="106"/>
    </row>
    <row r="13" spans="39:49" ht="14.25">
      <c r="AM13" s="106"/>
      <c r="AN13" s="107"/>
      <c r="AO13" s="106"/>
      <c r="AP13" s="107"/>
      <c r="AQ13" s="107"/>
      <c r="AR13" s="107"/>
      <c r="AS13" s="107"/>
      <c r="AT13" s="107"/>
      <c r="AU13" s="107"/>
      <c r="AV13" s="106"/>
      <c r="AW13" s="106"/>
    </row>
    <row r="14" spans="39:49" ht="14.25">
      <c r="AM14" s="106"/>
      <c r="AN14" s="107"/>
      <c r="AO14" s="106"/>
      <c r="AP14" s="107"/>
      <c r="AQ14" s="107"/>
      <c r="AR14" s="107"/>
      <c r="AS14" s="107"/>
      <c r="AT14" s="107"/>
      <c r="AU14" s="107"/>
      <c r="AV14" s="106"/>
      <c r="AW14" s="106"/>
    </row>
    <row r="15" spans="39:49" ht="14.25">
      <c r="AM15" s="106"/>
      <c r="AN15" s="107"/>
      <c r="AO15" s="106"/>
      <c r="AP15" s="107"/>
      <c r="AQ15" s="107"/>
      <c r="AR15" s="107"/>
      <c r="AS15" s="107"/>
      <c r="AT15" s="107"/>
      <c r="AU15" s="107"/>
      <c r="AV15" s="106"/>
      <c r="AW15" s="106"/>
    </row>
    <row r="16" spans="39:49" ht="14.25"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</row>
  </sheetData>
  <sheetProtection/>
  <mergeCells count="65">
    <mergeCell ref="AV5:AV6"/>
    <mergeCell ref="AM3:AU4"/>
    <mergeCell ref="AV3:AV4"/>
    <mergeCell ref="AW3:AW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1:Q1"/>
    <mergeCell ref="R1:AG1"/>
    <mergeCell ref="AH1:AQ1"/>
    <mergeCell ref="AD2:AI2"/>
    <mergeCell ref="A3:A4"/>
    <mergeCell ref="B3:B6"/>
    <mergeCell ref="C3:D4"/>
    <mergeCell ref="E3:J4"/>
    <mergeCell ref="J5:J6"/>
    <mergeCell ref="K3:L4"/>
    <mergeCell ref="M3:Q4"/>
    <mergeCell ref="K5:K6"/>
    <mergeCell ref="L5:L6"/>
    <mergeCell ref="M5:M6"/>
    <mergeCell ref="N5:N6"/>
    <mergeCell ref="O5:O6"/>
    <mergeCell ref="P5:P6"/>
    <mergeCell ref="R3:R4"/>
    <mergeCell ref="S3:V4"/>
    <mergeCell ref="W3:Y4"/>
    <mergeCell ref="Z3:AC4"/>
    <mergeCell ref="AD3:AG4"/>
    <mergeCell ref="AH3:AH4"/>
    <mergeCell ref="AI3:AL4"/>
    <mergeCell ref="C5:C6"/>
    <mergeCell ref="D5:D6"/>
    <mergeCell ref="E5:E6"/>
    <mergeCell ref="F5:F6"/>
    <mergeCell ref="G5:G6"/>
    <mergeCell ref="H5:H6"/>
    <mergeCell ref="I5:I6"/>
    <mergeCell ref="Q5:Q6"/>
    <mergeCell ref="S5:S6"/>
    <mergeCell ref="T5:T6"/>
    <mergeCell ref="U5:U6"/>
    <mergeCell ref="AC5:AC6"/>
    <mergeCell ref="AD5:AD6"/>
    <mergeCell ref="AE5:AE6"/>
    <mergeCell ref="V5:V6"/>
    <mergeCell ref="W5:W6"/>
    <mergeCell ref="X5:X6"/>
    <mergeCell ref="Y5:Y6"/>
    <mergeCell ref="A10:AI10"/>
    <mergeCell ref="AK5:AK6"/>
    <mergeCell ref="AL5:AL6"/>
    <mergeCell ref="AF5:AF6"/>
    <mergeCell ref="AG5:AG6"/>
    <mergeCell ref="Z5:Z6"/>
    <mergeCell ref="AA5:AA6"/>
    <mergeCell ref="AI5:AI6"/>
    <mergeCell ref="AJ5:AJ6"/>
    <mergeCell ref="AB5:AB6"/>
  </mergeCells>
  <printOptions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AW30"/>
  <sheetViews>
    <sheetView workbookViewId="0" topLeftCell="H1">
      <selection activeCell="AY5" sqref="AY5"/>
    </sheetView>
  </sheetViews>
  <sheetFormatPr defaultColWidth="9.00390625" defaultRowHeight="14.25"/>
  <cols>
    <col min="1" max="1" width="10.00390625" style="63" customWidth="1"/>
    <col min="2" max="2" width="7.875" style="1" customWidth="1"/>
    <col min="3" max="4" width="7.00390625" style="3" customWidth="1"/>
    <col min="5" max="9" width="6.375" style="3" customWidth="1"/>
    <col min="10" max="12" width="7.00390625" style="3" customWidth="1"/>
    <col min="13" max="14" width="7.00390625" style="1" customWidth="1"/>
    <col min="15" max="15" width="7.00390625" style="6" customWidth="1"/>
    <col min="16" max="17" width="7.00390625" style="7" customWidth="1"/>
    <col min="18" max="18" width="9.875" style="7" customWidth="1"/>
    <col min="19" max="19" width="7.125" style="4" customWidth="1"/>
    <col min="20" max="20" width="9.625" style="4" customWidth="1"/>
    <col min="21" max="21" width="7.25390625" style="4" customWidth="1"/>
    <col min="22" max="22" width="7.25390625" style="7" customWidth="1"/>
    <col min="23" max="23" width="7.625" style="29" customWidth="1"/>
    <col min="24" max="25" width="7.625" style="4" customWidth="1"/>
    <col min="26" max="26" width="6.75390625" style="2" customWidth="1"/>
    <col min="27" max="28" width="6.75390625" style="4" customWidth="1"/>
    <col min="29" max="29" width="6.75390625" style="8" customWidth="1"/>
    <col min="30" max="30" width="7.25390625" style="30" customWidth="1"/>
    <col min="31" max="32" width="7.25390625" style="8" customWidth="1"/>
    <col min="33" max="33" width="7.25390625" style="4" customWidth="1"/>
    <col min="34" max="34" width="10.125" style="4" customWidth="1"/>
    <col min="35" max="35" width="7.25390625" style="30" customWidth="1"/>
    <col min="36" max="36" width="7.25390625" style="4" customWidth="1"/>
    <col min="37" max="37" width="7.25390625" style="8" customWidth="1"/>
    <col min="38" max="38" width="8.25390625" style="8" customWidth="1"/>
    <col min="39" max="49" width="7.25390625" style="3" customWidth="1"/>
    <col min="50" max="16384" width="9.00390625" style="3" customWidth="1"/>
  </cols>
  <sheetData>
    <row r="1" spans="1:49" s="28" customFormat="1" ht="18" customHeight="1">
      <c r="A1" s="136" t="s">
        <v>335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 t="s">
        <v>340</v>
      </c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 t="s">
        <v>340</v>
      </c>
      <c r="AI1" s="136"/>
      <c r="AJ1" s="136"/>
      <c r="AK1" s="136"/>
      <c r="AL1" s="136"/>
      <c r="AM1" s="136"/>
      <c r="AN1" s="136"/>
      <c r="AO1" s="136"/>
      <c r="AP1" s="136"/>
      <c r="AQ1" s="136"/>
      <c r="AR1" s="27"/>
      <c r="AS1" s="27"/>
      <c r="AT1" s="27"/>
      <c r="AU1" s="27"/>
      <c r="AV1" s="27"/>
      <c r="AW1" s="27"/>
    </row>
    <row r="2" spans="1:38" s="4" customFormat="1" ht="15" customHeight="1">
      <c r="A2" s="31" t="s">
        <v>240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51"/>
      <c r="N2" s="51"/>
      <c r="O2" s="51"/>
      <c r="P2" s="51"/>
      <c r="Q2" s="5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9"/>
      <c r="AD2" s="137"/>
      <c r="AE2" s="137"/>
      <c r="AF2" s="137"/>
      <c r="AG2" s="138"/>
      <c r="AH2" s="138"/>
      <c r="AI2" s="137"/>
      <c r="AJ2" s="9"/>
      <c r="AK2" s="10"/>
      <c r="AL2" s="10"/>
    </row>
    <row r="3" spans="1:49" s="11" customFormat="1" ht="17.25" customHeight="1">
      <c r="A3" s="159" t="s">
        <v>158</v>
      </c>
      <c r="B3" s="139" t="s">
        <v>159</v>
      </c>
      <c r="C3" s="123" t="s">
        <v>160</v>
      </c>
      <c r="D3" s="123"/>
      <c r="E3" s="122" t="s">
        <v>161</v>
      </c>
      <c r="F3" s="123"/>
      <c r="G3" s="123"/>
      <c r="H3" s="123"/>
      <c r="I3" s="123"/>
      <c r="J3" s="128"/>
      <c r="K3" s="123" t="s">
        <v>31</v>
      </c>
      <c r="L3" s="123"/>
      <c r="M3" s="122" t="s">
        <v>162</v>
      </c>
      <c r="N3" s="123"/>
      <c r="O3" s="123"/>
      <c r="P3" s="123"/>
      <c r="Q3" s="128"/>
      <c r="R3" s="169" t="s">
        <v>158</v>
      </c>
      <c r="S3" s="122" t="s">
        <v>163</v>
      </c>
      <c r="T3" s="123"/>
      <c r="U3" s="123"/>
      <c r="V3" s="123"/>
      <c r="W3" s="122" t="s">
        <v>164</v>
      </c>
      <c r="X3" s="123"/>
      <c r="Y3" s="123"/>
      <c r="Z3" s="122" t="s">
        <v>165</v>
      </c>
      <c r="AA3" s="123"/>
      <c r="AB3" s="123"/>
      <c r="AC3" s="123"/>
      <c r="AD3" s="122" t="s">
        <v>166</v>
      </c>
      <c r="AE3" s="123"/>
      <c r="AF3" s="123"/>
      <c r="AG3" s="128"/>
      <c r="AH3" s="169" t="s">
        <v>158</v>
      </c>
      <c r="AI3" s="119" t="s">
        <v>167</v>
      </c>
      <c r="AJ3" s="120"/>
      <c r="AK3" s="120"/>
      <c r="AL3" s="121"/>
      <c r="AM3" s="123" t="s">
        <v>336</v>
      </c>
      <c r="AN3" s="123"/>
      <c r="AO3" s="123"/>
      <c r="AP3" s="123"/>
      <c r="AQ3" s="123"/>
      <c r="AR3" s="123"/>
      <c r="AS3" s="123"/>
      <c r="AT3" s="123"/>
      <c r="AU3" s="128"/>
      <c r="AV3" s="151" t="s">
        <v>338</v>
      </c>
      <c r="AW3" s="153" t="s">
        <v>48</v>
      </c>
    </row>
    <row r="4" spans="1:49" s="5" customFormat="1" ht="7.5" customHeight="1">
      <c r="A4" s="160"/>
      <c r="B4" s="140"/>
      <c r="C4" s="125"/>
      <c r="D4" s="125"/>
      <c r="E4" s="124"/>
      <c r="F4" s="125"/>
      <c r="G4" s="125"/>
      <c r="H4" s="125"/>
      <c r="I4" s="125"/>
      <c r="J4" s="129"/>
      <c r="K4" s="125"/>
      <c r="L4" s="125"/>
      <c r="M4" s="124"/>
      <c r="N4" s="125"/>
      <c r="O4" s="125"/>
      <c r="P4" s="125"/>
      <c r="Q4" s="129"/>
      <c r="R4" s="170"/>
      <c r="S4" s="124"/>
      <c r="T4" s="125"/>
      <c r="U4" s="125"/>
      <c r="V4" s="125"/>
      <c r="W4" s="124"/>
      <c r="X4" s="125"/>
      <c r="Y4" s="125"/>
      <c r="Z4" s="124"/>
      <c r="AA4" s="125"/>
      <c r="AB4" s="125"/>
      <c r="AC4" s="125"/>
      <c r="AD4" s="124"/>
      <c r="AE4" s="125"/>
      <c r="AF4" s="125"/>
      <c r="AG4" s="129"/>
      <c r="AH4" s="170"/>
      <c r="AI4" s="141"/>
      <c r="AJ4" s="142"/>
      <c r="AK4" s="142"/>
      <c r="AL4" s="143"/>
      <c r="AM4" s="125"/>
      <c r="AN4" s="125"/>
      <c r="AO4" s="125"/>
      <c r="AP4" s="125"/>
      <c r="AQ4" s="125"/>
      <c r="AR4" s="125"/>
      <c r="AS4" s="125"/>
      <c r="AT4" s="125"/>
      <c r="AU4" s="129"/>
      <c r="AV4" s="152"/>
      <c r="AW4" s="154"/>
    </row>
    <row r="5" spans="1:49" s="5" customFormat="1" ht="26.25" customHeight="1">
      <c r="A5" s="52"/>
      <c r="B5" s="140"/>
      <c r="C5" s="132" t="s">
        <v>168</v>
      </c>
      <c r="D5" s="126" t="s">
        <v>169</v>
      </c>
      <c r="E5" s="144" t="s">
        <v>170</v>
      </c>
      <c r="F5" s="126" t="s">
        <v>171</v>
      </c>
      <c r="G5" s="144" t="s">
        <v>341</v>
      </c>
      <c r="H5" s="126" t="s">
        <v>172</v>
      </c>
      <c r="I5" s="126" t="s">
        <v>173</v>
      </c>
      <c r="J5" s="126" t="s">
        <v>174</v>
      </c>
      <c r="K5" s="126" t="s">
        <v>175</v>
      </c>
      <c r="L5" s="132" t="s">
        <v>176</v>
      </c>
      <c r="M5" s="149" t="s">
        <v>177</v>
      </c>
      <c r="N5" s="149" t="s">
        <v>178</v>
      </c>
      <c r="O5" s="149" t="s">
        <v>179</v>
      </c>
      <c r="P5" s="149" t="s">
        <v>180</v>
      </c>
      <c r="Q5" s="149" t="s">
        <v>181</v>
      </c>
      <c r="R5" s="52"/>
      <c r="S5" s="144" t="s">
        <v>241</v>
      </c>
      <c r="T5" s="144" t="s">
        <v>242</v>
      </c>
      <c r="U5" s="144" t="s">
        <v>243</v>
      </c>
      <c r="V5" s="145" t="s">
        <v>244</v>
      </c>
      <c r="W5" s="126" t="s">
        <v>245</v>
      </c>
      <c r="X5" s="126" t="s">
        <v>246</v>
      </c>
      <c r="Y5" s="126" t="s">
        <v>247</v>
      </c>
      <c r="Z5" s="126" t="s">
        <v>248</v>
      </c>
      <c r="AA5" s="149" t="s">
        <v>249</v>
      </c>
      <c r="AB5" s="149" t="s">
        <v>250</v>
      </c>
      <c r="AC5" s="147" t="s">
        <v>251</v>
      </c>
      <c r="AD5" s="149" t="s">
        <v>252</v>
      </c>
      <c r="AE5" s="149" t="s">
        <v>249</v>
      </c>
      <c r="AF5" s="149" t="s">
        <v>253</v>
      </c>
      <c r="AG5" s="156" t="s">
        <v>254</v>
      </c>
      <c r="AH5" s="52"/>
      <c r="AI5" s="149" t="s">
        <v>182</v>
      </c>
      <c r="AJ5" s="149" t="s">
        <v>183</v>
      </c>
      <c r="AK5" s="126" t="s">
        <v>184</v>
      </c>
      <c r="AL5" s="126" t="s">
        <v>185</v>
      </c>
      <c r="AM5" s="144" t="s">
        <v>18</v>
      </c>
      <c r="AN5" s="144" t="s">
        <v>19</v>
      </c>
      <c r="AO5" s="144" t="s">
        <v>20</v>
      </c>
      <c r="AP5" s="126" t="s">
        <v>329</v>
      </c>
      <c r="AQ5" s="126" t="s">
        <v>330</v>
      </c>
      <c r="AR5" s="126" t="s">
        <v>331</v>
      </c>
      <c r="AS5" s="126" t="s">
        <v>332</v>
      </c>
      <c r="AT5" s="126" t="s">
        <v>333</v>
      </c>
      <c r="AU5" s="126" t="s">
        <v>334</v>
      </c>
      <c r="AV5" s="144" t="s">
        <v>21</v>
      </c>
      <c r="AW5" s="154"/>
    </row>
    <row r="6" spans="1:49" s="5" customFormat="1" ht="48" customHeight="1">
      <c r="A6" s="53" t="s">
        <v>81</v>
      </c>
      <c r="B6" s="118"/>
      <c r="C6" s="133"/>
      <c r="D6" s="127"/>
      <c r="E6" s="144"/>
      <c r="F6" s="127"/>
      <c r="G6" s="144"/>
      <c r="H6" s="127"/>
      <c r="I6" s="127"/>
      <c r="J6" s="127"/>
      <c r="K6" s="127"/>
      <c r="L6" s="133"/>
      <c r="M6" s="127"/>
      <c r="N6" s="127"/>
      <c r="O6" s="127"/>
      <c r="P6" s="127"/>
      <c r="Q6" s="127"/>
      <c r="R6" s="54" t="s">
        <v>81</v>
      </c>
      <c r="S6" s="144"/>
      <c r="T6" s="144"/>
      <c r="U6" s="144"/>
      <c r="V6" s="146"/>
      <c r="W6" s="127"/>
      <c r="X6" s="127"/>
      <c r="Y6" s="127"/>
      <c r="Z6" s="127"/>
      <c r="AA6" s="127"/>
      <c r="AB6" s="127"/>
      <c r="AC6" s="148"/>
      <c r="AD6" s="127"/>
      <c r="AE6" s="127"/>
      <c r="AF6" s="127"/>
      <c r="AG6" s="148"/>
      <c r="AH6" s="54" t="s">
        <v>81</v>
      </c>
      <c r="AI6" s="127"/>
      <c r="AJ6" s="127"/>
      <c r="AK6" s="127"/>
      <c r="AL6" s="127"/>
      <c r="AM6" s="144"/>
      <c r="AN6" s="144"/>
      <c r="AO6" s="144"/>
      <c r="AP6" s="127"/>
      <c r="AQ6" s="127"/>
      <c r="AR6" s="127"/>
      <c r="AS6" s="127"/>
      <c r="AT6" s="127"/>
      <c r="AU6" s="127"/>
      <c r="AV6" s="144"/>
      <c r="AW6" s="155"/>
    </row>
    <row r="7" spans="1:49" s="17" customFormat="1" ht="18.75" customHeight="1">
      <c r="A7" s="74" t="s">
        <v>255</v>
      </c>
      <c r="B7" s="75">
        <v>9010</v>
      </c>
      <c r="C7" s="12">
        <f>B7*0.75</f>
        <v>6757.5</v>
      </c>
      <c r="D7" s="12">
        <f>B7*0.75</f>
        <v>6757.5</v>
      </c>
      <c r="E7" s="13">
        <v>12</v>
      </c>
      <c r="F7" s="13">
        <v>6</v>
      </c>
      <c r="G7" s="13">
        <v>6</v>
      </c>
      <c r="H7" s="13">
        <v>9</v>
      </c>
      <c r="I7" s="13">
        <v>12</v>
      </c>
      <c r="J7" s="14">
        <v>0.8</v>
      </c>
      <c r="K7" s="14">
        <v>0.95</v>
      </c>
      <c r="L7" s="14">
        <v>0.9</v>
      </c>
      <c r="M7" s="58">
        <f>B7*0.0604</f>
        <v>544.2040000000001</v>
      </c>
      <c r="N7" s="58">
        <f>B7*0.0097</f>
        <v>87.397</v>
      </c>
      <c r="O7" s="15">
        <f>N7*0.9</f>
        <v>78.6573</v>
      </c>
      <c r="P7" s="15">
        <f>M7*0.9</f>
        <v>489.7836000000001</v>
      </c>
      <c r="Q7" s="15">
        <f>M7*0.85</f>
        <v>462.57340000000005</v>
      </c>
      <c r="R7" s="74" t="s">
        <v>256</v>
      </c>
      <c r="S7" s="15">
        <f>N7*0.95</f>
        <v>83.02715</v>
      </c>
      <c r="T7" s="15">
        <f>N7*0.9</f>
        <v>78.6573</v>
      </c>
      <c r="U7" s="15">
        <f>N7*0.95</f>
        <v>83.02715</v>
      </c>
      <c r="V7" s="15">
        <f>N7*0.85</f>
        <v>74.28745</v>
      </c>
      <c r="W7" s="19">
        <f aca="true" t="shared" si="0" ref="W7:W24">B7*0.0882</f>
        <v>794.682</v>
      </c>
      <c r="X7" s="15">
        <f>W7*0.7</f>
        <v>556.2774</v>
      </c>
      <c r="Y7" s="15">
        <f>W7*0.7</f>
        <v>556.2774</v>
      </c>
      <c r="Z7" s="19">
        <f aca="true" t="shared" si="1" ref="Z7:Z24">B7*0.52*0.188</f>
        <v>880.8176</v>
      </c>
      <c r="AA7" s="15">
        <f>Z7*0.3</f>
        <v>264.24528</v>
      </c>
      <c r="AB7" s="15">
        <f>AA7*0.35</f>
        <v>92.48584799999999</v>
      </c>
      <c r="AC7" s="12">
        <f>AA7*0.3</f>
        <v>79.27358399999999</v>
      </c>
      <c r="AD7" s="58">
        <f aca="true" t="shared" si="2" ref="AD7:AD24">B7*0.52*0.097</f>
        <v>454.4644</v>
      </c>
      <c r="AE7" s="15">
        <f>AD7*0.25</f>
        <v>113.6161</v>
      </c>
      <c r="AF7" s="15">
        <f>AE7*0.3</f>
        <v>34.08483</v>
      </c>
      <c r="AG7" s="48">
        <f>AE7*0.2</f>
        <v>22.72322</v>
      </c>
      <c r="AH7" s="74" t="s">
        <v>257</v>
      </c>
      <c r="AI7" s="19">
        <f aca="true" t="shared" si="3" ref="AI7:AI24">B7*8/1000</f>
        <v>72.08</v>
      </c>
      <c r="AJ7" s="15">
        <f>AI7*0.2</f>
        <v>14.416</v>
      </c>
      <c r="AK7" s="15">
        <f>AI7*0.2</f>
        <v>14.416</v>
      </c>
      <c r="AL7" s="15">
        <f>AK7*0.6</f>
        <v>8.6496</v>
      </c>
      <c r="AM7" s="16">
        <v>1</v>
      </c>
      <c r="AN7" s="16">
        <v>0.95</v>
      </c>
      <c r="AO7" s="16">
        <v>1</v>
      </c>
      <c r="AP7" s="16">
        <v>1</v>
      </c>
      <c r="AQ7" s="16">
        <v>0.95</v>
      </c>
      <c r="AR7" s="16">
        <v>1</v>
      </c>
      <c r="AS7" s="16">
        <v>0.8</v>
      </c>
      <c r="AT7" s="16">
        <v>0.85</v>
      </c>
      <c r="AU7" s="16">
        <v>0.85</v>
      </c>
      <c r="AV7" s="16">
        <v>0.95</v>
      </c>
      <c r="AW7" s="16">
        <v>0.8</v>
      </c>
    </row>
    <row r="8" spans="1:49" s="17" customFormat="1" ht="18.75" customHeight="1">
      <c r="A8" s="76" t="s">
        <v>258</v>
      </c>
      <c r="B8" s="77">
        <v>26360</v>
      </c>
      <c r="C8" s="12">
        <f aca="true" t="shared" si="4" ref="C8:C26">B8*0.75</f>
        <v>19770</v>
      </c>
      <c r="D8" s="12">
        <f aca="true" t="shared" si="5" ref="D8:D26">B8*0.75</f>
        <v>19770</v>
      </c>
      <c r="E8" s="13">
        <v>12</v>
      </c>
      <c r="F8" s="13">
        <v>6</v>
      </c>
      <c r="G8" s="13">
        <v>6</v>
      </c>
      <c r="H8" s="13">
        <v>9</v>
      </c>
      <c r="I8" s="13">
        <v>12</v>
      </c>
      <c r="J8" s="14">
        <v>0.8</v>
      </c>
      <c r="K8" s="14">
        <v>0.95</v>
      </c>
      <c r="L8" s="14">
        <v>0.9</v>
      </c>
      <c r="M8" s="58">
        <f aca="true" t="shared" si="6" ref="M8:M26">B8*0.0604</f>
        <v>1592.144</v>
      </c>
      <c r="N8" s="58">
        <f aca="true" t="shared" si="7" ref="N8:N26">B8*0.0097</f>
        <v>255.692</v>
      </c>
      <c r="O8" s="15">
        <f aca="true" t="shared" si="8" ref="O8:O26">N8*0.9</f>
        <v>230.1228</v>
      </c>
      <c r="P8" s="15">
        <f aca="true" t="shared" si="9" ref="P8:P26">M8*0.9</f>
        <v>1432.9296</v>
      </c>
      <c r="Q8" s="15">
        <f aca="true" t="shared" si="10" ref="Q8:Q26">M8*0.85</f>
        <v>1353.3224</v>
      </c>
      <c r="R8" s="76" t="s">
        <v>259</v>
      </c>
      <c r="S8" s="15">
        <f aca="true" t="shared" si="11" ref="S8:S26">N8*0.95</f>
        <v>242.9074</v>
      </c>
      <c r="T8" s="15">
        <f aca="true" t="shared" si="12" ref="T8:T26">N8*0.9</f>
        <v>230.1228</v>
      </c>
      <c r="U8" s="15">
        <f aca="true" t="shared" si="13" ref="U8:U26">N8*0.95</f>
        <v>242.9074</v>
      </c>
      <c r="V8" s="15">
        <f aca="true" t="shared" si="14" ref="V8:V26">N8*0.85</f>
        <v>217.3382</v>
      </c>
      <c r="W8" s="19">
        <f t="shared" si="0"/>
        <v>2324.952</v>
      </c>
      <c r="X8" s="15">
        <f aca="true" t="shared" si="15" ref="X8:X26">W8*0.7</f>
        <v>1627.4664</v>
      </c>
      <c r="Y8" s="15">
        <f aca="true" t="shared" si="16" ref="Y8:Y26">W8*0.7</f>
        <v>1627.4664</v>
      </c>
      <c r="Z8" s="19">
        <f t="shared" si="1"/>
        <v>2576.9536000000003</v>
      </c>
      <c r="AA8" s="15">
        <f aca="true" t="shared" si="17" ref="AA8:AA26">Z8*0.3</f>
        <v>773.08608</v>
      </c>
      <c r="AB8" s="15">
        <f aca="true" t="shared" si="18" ref="AB8:AB26">AA8*0.35</f>
        <v>270.580128</v>
      </c>
      <c r="AC8" s="12">
        <f aca="true" t="shared" si="19" ref="AC8:AC26">AA8*0.3</f>
        <v>231.925824</v>
      </c>
      <c r="AD8" s="58">
        <f t="shared" si="2"/>
        <v>1329.5984</v>
      </c>
      <c r="AE8" s="15">
        <f aca="true" t="shared" si="20" ref="AE8:AE26">AD8*0.25</f>
        <v>332.3996</v>
      </c>
      <c r="AF8" s="15">
        <f aca="true" t="shared" si="21" ref="AF8:AF26">AE8*0.3</f>
        <v>99.71988</v>
      </c>
      <c r="AG8" s="48">
        <f aca="true" t="shared" si="22" ref="AG8:AG26">AE8*0.2</f>
        <v>66.47992</v>
      </c>
      <c r="AH8" s="76" t="s">
        <v>260</v>
      </c>
      <c r="AI8" s="19">
        <f t="shared" si="3"/>
        <v>210.88</v>
      </c>
      <c r="AJ8" s="15">
        <f aca="true" t="shared" si="23" ref="AJ8:AJ26">AI8*0.2</f>
        <v>42.176</v>
      </c>
      <c r="AK8" s="15">
        <f aca="true" t="shared" si="24" ref="AK8:AK26">AI8*0.2</f>
        <v>42.176</v>
      </c>
      <c r="AL8" s="15">
        <f aca="true" t="shared" si="25" ref="AL8:AL26">AK8*0.6</f>
        <v>25.305600000000002</v>
      </c>
      <c r="AM8" s="49">
        <v>1</v>
      </c>
      <c r="AN8" s="16">
        <v>0.95</v>
      </c>
      <c r="AO8" s="49">
        <v>1</v>
      </c>
      <c r="AP8" s="16">
        <v>1</v>
      </c>
      <c r="AQ8" s="16">
        <v>0.95</v>
      </c>
      <c r="AR8" s="16">
        <v>1</v>
      </c>
      <c r="AS8" s="16">
        <v>0.8</v>
      </c>
      <c r="AT8" s="16">
        <v>0.85</v>
      </c>
      <c r="AU8" s="16">
        <v>0.85</v>
      </c>
      <c r="AV8" s="49">
        <v>0.95</v>
      </c>
      <c r="AW8" s="49">
        <v>0.8</v>
      </c>
    </row>
    <row r="9" spans="1:49" s="17" customFormat="1" ht="18.75" customHeight="1">
      <c r="A9" s="66" t="s">
        <v>261</v>
      </c>
      <c r="B9" s="78">
        <v>9432</v>
      </c>
      <c r="C9" s="12">
        <f t="shared" si="4"/>
        <v>7074</v>
      </c>
      <c r="D9" s="12">
        <f t="shared" si="5"/>
        <v>7074</v>
      </c>
      <c r="E9" s="13">
        <v>12</v>
      </c>
      <c r="F9" s="13">
        <v>6</v>
      </c>
      <c r="G9" s="13">
        <v>6</v>
      </c>
      <c r="H9" s="13">
        <v>9</v>
      </c>
      <c r="I9" s="13">
        <v>12</v>
      </c>
      <c r="J9" s="14">
        <v>0.8</v>
      </c>
      <c r="K9" s="14">
        <v>0.95</v>
      </c>
      <c r="L9" s="14">
        <v>0.9</v>
      </c>
      <c r="M9" s="58">
        <f t="shared" si="6"/>
        <v>569.6928</v>
      </c>
      <c r="N9" s="58">
        <f t="shared" si="7"/>
        <v>91.49040000000001</v>
      </c>
      <c r="O9" s="15">
        <f t="shared" si="8"/>
        <v>82.34136000000001</v>
      </c>
      <c r="P9" s="15">
        <f t="shared" si="9"/>
        <v>512.72352</v>
      </c>
      <c r="Q9" s="15">
        <f t="shared" si="10"/>
        <v>484.23888</v>
      </c>
      <c r="R9" s="66" t="s">
        <v>261</v>
      </c>
      <c r="S9" s="15">
        <f t="shared" si="11"/>
        <v>86.91588</v>
      </c>
      <c r="T9" s="15">
        <f t="shared" si="12"/>
        <v>82.34136000000001</v>
      </c>
      <c r="U9" s="15">
        <f t="shared" si="13"/>
        <v>86.91588</v>
      </c>
      <c r="V9" s="15">
        <f t="shared" si="14"/>
        <v>77.76684</v>
      </c>
      <c r="W9" s="19">
        <f>B9*0.0882</f>
        <v>831.9024000000001</v>
      </c>
      <c r="X9" s="15">
        <f t="shared" si="15"/>
        <v>582.33168</v>
      </c>
      <c r="Y9" s="15">
        <f t="shared" si="16"/>
        <v>582.33168</v>
      </c>
      <c r="Z9" s="19">
        <f>B9*0.52*0.188</f>
        <v>922.0723200000001</v>
      </c>
      <c r="AA9" s="15">
        <f t="shared" si="17"/>
        <v>276.62169600000004</v>
      </c>
      <c r="AB9" s="15">
        <f t="shared" si="18"/>
        <v>96.81759360000001</v>
      </c>
      <c r="AC9" s="12">
        <f t="shared" si="19"/>
        <v>82.98650880000001</v>
      </c>
      <c r="AD9" s="58">
        <f>B9*0.52*0.097</f>
        <v>475.75008</v>
      </c>
      <c r="AE9" s="15">
        <f t="shared" si="20"/>
        <v>118.93752</v>
      </c>
      <c r="AF9" s="15">
        <f t="shared" si="21"/>
        <v>35.681256</v>
      </c>
      <c r="AG9" s="48">
        <f t="shared" si="22"/>
        <v>23.787504000000002</v>
      </c>
      <c r="AH9" s="66" t="s">
        <v>262</v>
      </c>
      <c r="AI9" s="19">
        <f>B9*8/1000</f>
        <v>75.456</v>
      </c>
      <c r="AJ9" s="15">
        <f t="shared" si="23"/>
        <v>15.0912</v>
      </c>
      <c r="AK9" s="15">
        <f t="shared" si="24"/>
        <v>15.0912</v>
      </c>
      <c r="AL9" s="15">
        <f t="shared" si="25"/>
        <v>9.05472</v>
      </c>
      <c r="AM9" s="49">
        <v>1</v>
      </c>
      <c r="AN9" s="16">
        <v>0.95</v>
      </c>
      <c r="AO9" s="49">
        <v>1</v>
      </c>
      <c r="AP9" s="16">
        <v>1</v>
      </c>
      <c r="AQ9" s="16">
        <v>0.95</v>
      </c>
      <c r="AR9" s="16">
        <v>1</v>
      </c>
      <c r="AS9" s="16">
        <v>0.8</v>
      </c>
      <c r="AT9" s="16">
        <v>0.85</v>
      </c>
      <c r="AU9" s="16">
        <v>0.85</v>
      </c>
      <c r="AV9" s="49">
        <v>0.95</v>
      </c>
      <c r="AW9" s="49">
        <v>0.8</v>
      </c>
    </row>
    <row r="10" spans="1:49" s="17" customFormat="1" ht="18.75" customHeight="1">
      <c r="A10" s="76" t="s">
        <v>263</v>
      </c>
      <c r="B10" s="77">
        <v>12544</v>
      </c>
      <c r="C10" s="12">
        <f t="shared" si="4"/>
        <v>9408</v>
      </c>
      <c r="D10" s="12">
        <f t="shared" si="5"/>
        <v>9408</v>
      </c>
      <c r="E10" s="13">
        <v>12</v>
      </c>
      <c r="F10" s="13">
        <v>6</v>
      </c>
      <c r="G10" s="13">
        <v>6</v>
      </c>
      <c r="H10" s="13">
        <v>9</v>
      </c>
      <c r="I10" s="13">
        <v>12</v>
      </c>
      <c r="J10" s="14">
        <v>0.8</v>
      </c>
      <c r="K10" s="14">
        <v>0.95</v>
      </c>
      <c r="L10" s="14">
        <v>0.9</v>
      </c>
      <c r="M10" s="58">
        <f t="shared" si="6"/>
        <v>757.6576</v>
      </c>
      <c r="N10" s="58">
        <f t="shared" si="7"/>
        <v>121.6768</v>
      </c>
      <c r="O10" s="15">
        <f t="shared" si="8"/>
        <v>109.50912</v>
      </c>
      <c r="P10" s="15">
        <f t="shared" si="9"/>
        <v>681.89184</v>
      </c>
      <c r="Q10" s="15">
        <f t="shared" si="10"/>
        <v>644.00896</v>
      </c>
      <c r="R10" s="76" t="s">
        <v>263</v>
      </c>
      <c r="S10" s="15">
        <f t="shared" si="11"/>
        <v>115.59295999999999</v>
      </c>
      <c r="T10" s="15">
        <f t="shared" si="12"/>
        <v>109.50912</v>
      </c>
      <c r="U10" s="15">
        <f t="shared" si="13"/>
        <v>115.59295999999999</v>
      </c>
      <c r="V10" s="15">
        <f t="shared" si="14"/>
        <v>103.42528</v>
      </c>
      <c r="W10" s="19">
        <f t="shared" si="0"/>
        <v>1106.3808</v>
      </c>
      <c r="X10" s="15">
        <f t="shared" si="15"/>
        <v>774.4665599999998</v>
      </c>
      <c r="Y10" s="15">
        <f t="shared" si="16"/>
        <v>774.4665599999998</v>
      </c>
      <c r="Z10" s="19">
        <f t="shared" si="1"/>
        <v>1226.30144</v>
      </c>
      <c r="AA10" s="15">
        <f t="shared" si="17"/>
        <v>367.890432</v>
      </c>
      <c r="AB10" s="15">
        <f t="shared" si="18"/>
        <v>128.7616512</v>
      </c>
      <c r="AC10" s="12">
        <f t="shared" si="19"/>
        <v>110.36712959999998</v>
      </c>
      <c r="AD10" s="58">
        <f t="shared" si="2"/>
        <v>632.71936</v>
      </c>
      <c r="AE10" s="15">
        <f t="shared" si="20"/>
        <v>158.17984</v>
      </c>
      <c r="AF10" s="15">
        <f t="shared" si="21"/>
        <v>47.453952</v>
      </c>
      <c r="AG10" s="48">
        <f t="shared" si="22"/>
        <v>31.635968000000005</v>
      </c>
      <c r="AH10" s="76" t="s">
        <v>263</v>
      </c>
      <c r="AI10" s="19">
        <f t="shared" si="3"/>
        <v>100.352</v>
      </c>
      <c r="AJ10" s="15">
        <f t="shared" si="23"/>
        <v>20.070400000000003</v>
      </c>
      <c r="AK10" s="15">
        <f t="shared" si="24"/>
        <v>20.070400000000003</v>
      </c>
      <c r="AL10" s="15">
        <f t="shared" si="25"/>
        <v>12.042240000000001</v>
      </c>
      <c r="AM10" s="49">
        <v>1</v>
      </c>
      <c r="AN10" s="16">
        <v>0.95</v>
      </c>
      <c r="AO10" s="49">
        <v>1</v>
      </c>
      <c r="AP10" s="16">
        <v>1</v>
      </c>
      <c r="AQ10" s="16">
        <v>0.95</v>
      </c>
      <c r="AR10" s="16">
        <v>1</v>
      </c>
      <c r="AS10" s="16">
        <v>0.8</v>
      </c>
      <c r="AT10" s="16">
        <v>0.85</v>
      </c>
      <c r="AU10" s="16">
        <v>0.85</v>
      </c>
      <c r="AV10" s="49">
        <v>0.95</v>
      </c>
      <c r="AW10" s="49">
        <v>0.8</v>
      </c>
    </row>
    <row r="11" spans="1:49" s="17" customFormat="1" ht="18.75" customHeight="1">
      <c r="A11" s="76" t="s">
        <v>264</v>
      </c>
      <c r="B11" s="79">
        <v>6360</v>
      </c>
      <c r="C11" s="12">
        <f t="shared" si="4"/>
        <v>4770</v>
      </c>
      <c r="D11" s="12">
        <f t="shared" si="5"/>
        <v>4770</v>
      </c>
      <c r="E11" s="13">
        <v>12</v>
      </c>
      <c r="F11" s="13">
        <v>6</v>
      </c>
      <c r="G11" s="13">
        <v>6</v>
      </c>
      <c r="H11" s="13">
        <v>9</v>
      </c>
      <c r="I11" s="13">
        <v>12</v>
      </c>
      <c r="J11" s="14">
        <v>0.8</v>
      </c>
      <c r="K11" s="14">
        <v>0.95</v>
      </c>
      <c r="L11" s="14">
        <v>0.9</v>
      </c>
      <c r="M11" s="58">
        <f t="shared" si="6"/>
        <v>384.144</v>
      </c>
      <c r="N11" s="58">
        <f t="shared" si="7"/>
        <v>61.692</v>
      </c>
      <c r="O11" s="15">
        <f t="shared" si="8"/>
        <v>55.522800000000004</v>
      </c>
      <c r="P11" s="15">
        <f t="shared" si="9"/>
        <v>345.7296</v>
      </c>
      <c r="Q11" s="15">
        <f t="shared" si="10"/>
        <v>326.5224</v>
      </c>
      <c r="R11" s="76" t="s">
        <v>264</v>
      </c>
      <c r="S11" s="15">
        <f t="shared" si="11"/>
        <v>58.6074</v>
      </c>
      <c r="T11" s="15">
        <f t="shared" si="12"/>
        <v>55.522800000000004</v>
      </c>
      <c r="U11" s="15">
        <f t="shared" si="13"/>
        <v>58.6074</v>
      </c>
      <c r="V11" s="15">
        <f t="shared" si="14"/>
        <v>52.4382</v>
      </c>
      <c r="W11" s="19">
        <f t="shared" si="0"/>
        <v>560.952</v>
      </c>
      <c r="X11" s="15">
        <f t="shared" si="15"/>
        <v>392.66639999999995</v>
      </c>
      <c r="Y11" s="15">
        <f t="shared" si="16"/>
        <v>392.66639999999995</v>
      </c>
      <c r="Z11" s="19">
        <f t="shared" si="1"/>
        <v>621.7536</v>
      </c>
      <c r="AA11" s="15">
        <f t="shared" si="17"/>
        <v>186.52608</v>
      </c>
      <c r="AB11" s="15">
        <f t="shared" si="18"/>
        <v>65.284128</v>
      </c>
      <c r="AC11" s="12">
        <f t="shared" si="19"/>
        <v>55.957824</v>
      </c>
      <c r="AD11" s="58">
        <f t="shared" si="2"/>
        <v>320.7984</v>
      </c>
      <c r="AE11" s="15">
        <f t="shared" si="20"/>
        <v>80.1996</v>
      </c>
      <c r="AF11" s="15">
        <f t="shared" si="21"/>
        <v>24.05988</v>
      </c>
      <c r="AG11" s="48">
        <f t="shared" si="22"/>
        <v>16.039920000000002</v>
      </c>
      <c r="AH11" s="76" t="s">
        <v>264</v>
      </c>
      <c r="AI11" s="19">
        <f t="shared" si="3"/>
        <v>50.88</v>
      </c>
      <c r="AJ11" s="15">
        <f t="shared" si="23"/>
        <v>10.176000000000002</v>
      </c>
      <c r="AK11" s="15">
        <f t="shared" si="24"/>
        <v>10.176000000000002</v>
      </c>
      <c r="AL11" s="15">
        <f t="shared" si="25"/>
        <v>6.105600000000001</v>
      </c>
      <c r="AM11" s="49">
        <v>1</v>
      </c>
      <c r="AN11" s="16">
        <v>0.95</v>
      </c>
      <c r="AO11" s="49">
        <v>1</v>
      </c>
      <c r="AP11" s="16">
        <v>1</v>
      </c>
      <c r="AQ11" s="16">
        <v>0.95</v>
      </c>
      <c r="AR11" s="16">
        <v>1</v>
      </c>
      <c r="AS11" s="16">
        <v>0.8</v>
      </c>
      <c r="AT11" s="16">
        <v>0.85</v>
      </c>
      <c r="AU11" s="16">
        <v>0.85</v>
      </c>
      <c r="AV11" s="49">
        <v>0.95</v>
      </c>
      <c r="AW11" s="49">
        <v>0.8</v>
      </c>
    </row>
    <row r="12" spans="1:49" s="17" customFormat="1" ht="18.75" customHeight="1">
      <c r="A12" s="76" t="s">
        <v>265</v>
      </c>
      <c r="B12" s="77">
        <v>10086</v>
      </c>
      <c r="C12" s="12">
        <f t="shared" si="4"/>
        <v>7564.5</v>
      </c>
      <c r="D12" s="12">
        <f t="shared" si="5"/>
        <v>7564.5</v>
      </c>
      <c r="E12" s="13">
        <v>12</v>
      </c>
      <c r="F12" s="13">
        <v>6</v>
      </c>
      <c r="G12" s="13">
        <v>6</v>
      </c>
      <c r="H12" s="13">
        <v>9</v>
      </c>
      <c r="I12" s="13">
        <v>12</v>
      </c>
      <c r="J12" s="14">
        <v>0.8</v>
      </c>
      <c r="K12" s="14">
        <v>0.95</v>
      </c>
      <c r="L12" s="14">
        <v>0.9</v>
      </c>
      <c r="M12" s="58">
        <f t="shared" si="6"/>
        <v>609.1944</v>
      </c>
      <c r="N12" s="58">
        <f t="shared" si="7"/>
        <v>97.83420000000001</v>
      </c>
      <c r="O12" s="15">
        <f t="shared" si="8"/>
        <v>88.05078000000002</v>
      </c>
      <c r="P12" s="15">
        <f t="shared" si="9"/>
        <v>548.27496</v>
      </c>
      <c r="Q12" s="15">
        <f t="shared" si="10"/>
        <v>517.81524</v>
      </c>
      <c r="R12" s="76" t="s">
        <v>265</v>
      </c>
      <c r="S12" s="15">
        <f t="shared" si="11"/>
        <v>92.94249</v>
      </c>
      <c r="T12" s="15">
        <f t="shared" si="12"/>
        <v>88.05078000000002</v>
      </c>
      <c r="U12" s="15">
        <f t="shared" si="13"/>
        <v>92.94249</v>
      </c>
      <c r="V12" s="15">
        <f t="shared" si="14"/>
        <v>83.15907</v>
      </c>
      <c r="W12" s="19">
        <f t="shared" si="0"/>
        <v>889.5852</v>
      </c>
      <c r="X12" s="15">
        <f t="shared" si="15"/>
        <v>622.7096399999999</v>
      </c>
      <c r="Y12" s="15">
        <f t="shared" si="16"/>
        <v>622.7096399999999</v>
      </c>
      <c r="Z12" s="19">
        <f t="shared" si="1"/>
        <v>986.0073600000001</v>
      </c>
      <c r="AA12" s="15">
        <f t="shared" si="17"/>
        <v>295.802208</v>
      </c>
      <c r="AB12" s="15">
        <f t="shared" si="18"/>
        <v>103.5307728</v>
      </c>
      <c r="AC12" s="12">
        <f t="shared" si="19"/>
        <v>88.7406624</v>
      </c>
      <c r="AD12" s="58">
        <f t="shared" si="2"/>
        <v>508.73784000000006</v>
      </c>
      <c r="AE12" s="15">
        <f t="shared" si="20"/>
        <v>127.18446000000002</v>
      </c>
      <c r="AF12" s="15">
        <f t="shared" si="21"/>
        <v>38.155338</v>
      </c>
      <c r="AG12" s="48">
        <f t="shared" si="22"/>
        <v>25.436892000000004</v>
      </c>
      <c r="AH12" s="76" t="s">
        <v>265</v>
      </c>
      <c r="AI12" s="19">
        <f t="shared" si="3"/>
        <v>80.688</v>
      </c>
      <c r="AJ12" s="15">
        <f t="shared" si="23"/>
        <v>16.137600000000003</v>
      </c>
      <c r="AK12" s="15">
        <f t="shared" si="24"/>
        <v>16.137600000000003</v>
      </c>
      <c r="AL12" s="15">
        <f t="shared" si="25"/>
        <v>9.68256</v>
      </c>
      <c r="AM12" s="49">
        <v>1</v>
      </c>
      <c r="AN12" s="16">
        <v>0.95</v>
      </c>
      <c r="AO12" s="49">
        <v>1</v>
      </c>
      <c r="AP12" s="16">
        <v>1</v>
      </c>
      <c r="AQ12" s="16">
        <v>0.95</v>
      </c>
      <c r="AR12" s="16">
        <v>1</v>
      </c>
      <c r="AS12" s="16">
        <v>0.8</v>
      </c>
      <c r="AT12" s="16">
        <v>0.85</v>
      </c>
      <c r="AU12" s="16">
        <v>0.85</v>
      </c>
      <c r="AV12" s="49">
        <v>0.95</v>
      </c>
      <c r="AW12" s="49">
        <v>0.8</v>
      </c>
    </row>
    <row r="13" spans="1:49" s="17" customFormat="1" ht="18.75" customHeight="1">
      <c r="A13" s="76" t="s">
        <v>266</v>
      </c>
      <c r="B13" s="77">
        <v>3370</v>
      </c>
      <c r="C13" s="12">
        <f t="shared" si="4"/>
        <v>2527.5</v>
      </c>
      <c r="D13" s="12">
        <f t="shared" si="5"/>
        <v>2527.5</v>
      </c>
      <c r="E13" s="13">
        <v>12</v>
      </c>
      <c r="F13" s="13">
        <v>6</v>
      </c>
      <c r="G13" s="13">
        <v>6</v>
      </c>
      <c r="H13" s="13">
        <v>9</v>
      </c>
      <c r="I13" s="13">
        <v>12</v>
      </c>
      <c r="J13" s="14">
        <v>0.8</v>
      </c>
      <c r="K13" s="14">
        <v>0.95</v>
      </c>
      <c r="L13" s="14">
        <v>0.9</v>
      </c>
      <c r="M13" s="58">
        <f t="shared" si="6"/>
        <v>203.548</v>
      </c>
      <c r="N13" s="58">
        <f t="shared" si="7"/>
        <v>32.689</v>
      </c>
      <c r="O13" s="15">
        <f t="shared" si="8"/>
        <v>29.4201</v>
      </c>
      <c r="P13" s="15">
        <f t="shared" si="9"/>
        <v>183.19320000000002</v>
      </c>
      <c r="Q13" s="15">
        <f t="shared" si="10"/>
        <v>173.01579999999998</v>
      </c>
      <c r="R13" s="76" t="s">
        <v>266</v>
      </c>
      <c r="S13" s="15">
        <f t="shared" si="11"/>
        <v>31.05455</v>
      </c>
      <c r="T13" s="15">
        <f t="shared" si="12"/>
        <v>29.4201</v>
      </c>
      <c r="U13" s="15">
        <f t="shared" si="13"/>
        <v>31.05455</v>
      </c>
      <c r="V13" s="15">
        <f t="shared" si="14"/>
        <v>27.78565</v>
      </c>
      <c r="W13" s="19">
        <f t="shared" si="0"/>
        <v>297.234</v>
      </c>
      <c r="X13" s="15">
        <f t="shared" si="15"/>
        <v>208.0638</v>
      </c>
      <c r="Y13" s="15">
        <f t="shared" si="16"/>
        <v>208.0638</v>
      </c>
      <c r="Z13" s="19">
        <f t="shared" si="1"/>
        <v>329.45120000000003</v>
      </c>
      <c r="AA13" s="15">
        <f t="shared" si="17"/>
        <v>98.83536000000001</v>
      </c>
      <c r="AB13" s="15">
        <f t="shared" si="18"/>
        <v>34.592376</v>
      </c>
      <c r="AC13" s="12">
        <f t="shared" si="19"/>
        <v>29.650608000000002</v>
      </c>
      <c r="AD13" s="58">
        <f t="shared" si="2"/>
        <v>169.98280000000003</v>
      </c>
      <c r="AE13" s="15">
        <f t="shared" si="20"/>
        <v>42.49570000000001</v>
      </c>
      <c r="AF13" s="15">
        <f t="shared" si="21"/>
        <v>12.74871</v>
      </c>
      <c r="AG13" s="48">
        <f t="shared" si="22"/>
        <v>8.499140000000002</v>
      </c>
      <c r="AH13" s="76" t="s">
        <v>266</v>
      </c>
      <c r="AI13" s="19">
        <f t="shared" si="3"/>
        <v>26.96</v>
      </c>
      <c r="AJ13" s="15">
        <f t="shared" si="23"/>
        <v>5.392</v>
      </c>
      <c r="AK13" s="15">
        <f t="shared" si="24"/>
        <v>5.392</v>
      </c>
      <c r="AL13" s="15">
        <f t="shared" si="25"/>
        <v>3.2352000000000003</v>
      </c>
      <c r="AM13" s="49">
        <v>1</v>
      </c>
      <c r="AN13" s="16">
        <v>0.95</v>
      </c>
      <c r="AO13" s="49">
        <v>1</v>
      </c>
      <c r="AP13" s="16">
        <v>1</v>
      </c>
      <c r="AQ13" s="16">
        <v>0.95</v>
      </c>
      <c r="AR13" s="16">
        <v>1</v>
      </c>
      <c r="AS13" s="16">
        <v>0.8</v>
      </c>
      <c r="AT13" s="16">
        <v>0.85</v>
      </c>
      <c r="AU13" s="16">
        <v>0.85</v>
      </c>
      <c r="AV13" s="49">
        <v>0.95</v>
      </c>
      <c r="AW13" s="49">
        <v>0.8</v>
      </c>
    </row>
    <row r="14" spans="1:49" s="17" customFormat="1" ht="18.75" customHeight="1">
      <c r="A14" s="76" t="s">
        <v>267</v>
      </c>
      <c r="B14" s="77">
        <v>5890</v>
      </c>
      <c r="C14" s="12">
        <f t="shared" si="4"/>
        <v>4417.5</v>
      </c>
      <c r="D14" s="12">
        <f t="shared" si="5"/>
        <v>4417.5</v>
      </c>
      <c r="E14" s="13">
        <v>12</v>
      </c>
      <c r="F14" s="13">
        <v>6</v>
      </c>
      <c r="G14" s="13">
        <v>6</v>
      </c>
      <c r="H14" s="13">
        <v>9</v>
      </c>
      <c r="I14" s="13">
        <v>12</v>
      </c>
      <c r="J14" s="14">
        <v>0.8</v>
      </c>
      <c r="K14" s="14">
        <v>0.95</v>
      </c>
      <c r="L14" s="14">
        <v>0.9</v>
      </c>
      <c r="M14" s="58">
        <f t="shared" si="6"/>
        <v>355.75600000000003</v>
      </c>
      <c r="N14" s="58">
        <f t="shared" si="7"/>
        <v>57.133</v>
      </c>
      <c r="O14" s="15">
        <f t="shared" si="8"/>
        <v>51.419700000000006</v>
      </c>
      <c r="P14" s="15">
        <f t="shared" si="9"/>
        <v>320.1804</v>
      </c>
      <c r="Q14" s="15">
        <f t="shared" si="10"/>
        <v>302.3926</v>
      </c>
      <c r="R14" s="76" t="s">
        <v>267</v>
      </c>
      <c r="S14" s="15">
        <f t="shared" si="11"/>
        <v>54.27635</v>
      </c>
      <c r="T14" s="15">
        <f t="shared" si="12"/>
        <v>51.419700000000006</v>
      </c>
      <c r="U14" s="15">
        <f t="shared" si="13"/>
        <v>54.27635</v>
      </c>
      <c r="V14" s="15">
        <f t="shared" si="14"/>
        <v>48.563050000000004</v>
      </c>
      <c r="W14" s="19">
        <f t="shared" si="0"/>
        <v>519.498</v>
      </c>
      <c r="X14" s="15">
        <f t="shared" si="15"/>
        <v>363.6486</v>
      </c>
      <c r="Y14" s="15">
        <f t="shared" si="16"/>
        <v>363.6486</v>
      </c>
      <c r="Z14" s="19">
        <f t="shared" si="1"/>
        <v>575.8064</v>
      </c>
      <c r="AA14" s="15">
        <f t="shared" si="17"/>
        <v>172.74192000000002</v>
      </c>
      <c r="AB14" s="15">
        <f t="shared" si="18"/>
        <v>60.459672000000005</v>
      </c>
      <c r="AC14" s="12">
        <f t="shared" si="19"/>
        <v>51.822576000000005</v>
      </c>
      <c r="AD14" s="58">
        <f t="shared" si="2"/>
        <v>297.0916</v>
      </c>
      <c r="AE14" s="15">
        <f t="shared" si="20"/>
        <v>74.2729</v>
      </c>
      <c r="AF14" s="15">
        <f t="shared" si="21"/>
        <v>22.28187</v>
      </c>
      <c r="AG14" s="48">
        <f t="shared" si="22"/>
        <v>14.854580000000002</v>
      </c>
      <c r="AH14" s="76" t="s">
        <v>267</v>
      </c>
      <c r="AI14" s="19">
        <f t="shared" si="3"/>
        <v>47.12</v>
      </c>
      <c r="AJ14" s="15">
        <f t="shared" si="23"/>
        <v>9.424</v>
      </c>
      <c r="AK14" s="15">
        <f t="shared" si="24"/>
        <v>9.424</v>
      </c>
      <c r="AL14" s="15">
        <f t="shared" si="25"/>
        <v>5.6544</v>
      </c>
      <c r="AM14" s="49">
        <v>1</v>
      </c>
      <c r="AN14" s="16">
        <v>0.95</v>
      </c>
      <c r="AO14" s="49">
        <v>1</v>
      </c>
      <c r="AP14" s="16">
        <v>1</v>
      </c>
      <c r="AQ14" s="16">
        <v>0.95</v>
      </c>
      <c r="AR14" s="16">
        <v>1</v>
      </c>
      <c r="AS14" s="16">
        <v>0.8</v>
      </c>
      <c r="AT14" s="16">
        <v>0.85</v>
      </c>
      <c r="AU14" s="16">
        <v>0.85</v>
      </c>
      <c r="AV14" s="49">
        <v>0.95</v>
      </c>
      <c r="AW14" s="49">
        <v>0.8</v>
      </c>
    </row>
    <row r="15" spans="1:49" s="17" customFormat="1" ht="18.75" customHeight="1">
      <c r="A15" s="76" t="s">
        <v>268</v>
      </c>
      <c r="B15" s="77">
        <v>13200</v>
      </c>
      <c r="C15" s="12">
        <f t="shared" si="4"/>
        <v>9900</v>
      </c>
      <c r="D15" s="12">
        <f t="shared" si="5"/>
        <v>9900</v>
      </c>
      <c r="E15" s="13">
        <v>12</v>
      </c>
      <c r="F15" s="13">
        <v>6</v>
      </c>
      <c r="G15" s="13">
        <v>6</v>
      </c>
      <c r="H15" s="13">
        <v>9</v>
      </c>
      <c r="I15" s="13">
        <v>12</v>
      </c>
      <c r="J15" s="14">
        <v>0.8</v>
      </c>
      <c r="K15" s="14">
        <v>0.95</v>
      </c>
      <c r="L15" s="14">
        <v>0.9</v>
      </c>
      <c r="M15" s="58">
        <f t="shared" si="6"/>
        <v>797.2800000000001</v>
      </c>
      <c r="N15" s="58">
        <f t="shared" si="7"/>
        <v>128.04</v>
      </c>
      <c r="O15" s="15">
        <f t="shared" si="8"/>
        <v>115.23599999999999</v>
      </c>
      <c r="P15" s="15">
        <f t="shared" si="9"/>
        <v>717.5520000000001</v>
      </c>
      <c r="Q15" s="15">
        <f t="shared" si="10"/>
        <v>677.6880000000001</v>
      </c>
      <c r="R15" s="76" t="s">
        <v>268</v>
      </c>
      <c r="S15" s="15">
        <f t="shared" si="11"/>
        <v>121.63799999999999</v>
      </c>
      <c r="T15" s="15">
        <f t="shared" si="12"/>
        <v>115.23599999999999</v>
      </c>
      <c r="U15" s="15">
        <f t="shared" si="13"/>
        <v>121.63799999999999</v>
      </c>
      <c r="V15" s="15">
        <f t="shared" si="14"/>
        <v>108.83399999999999</v>
      </c>
      <c r="W15" s="19">
        <f t="shared" si="0"/>
        <v>1164.24</v>
      </c>
      <c r="X15" s="15">
        <f t="shared" si="15"/>
        <v>814.968</v>
      </c>
      <c r="Y15" s="15">
        <f t="shared" si="16"/>
        <v>814.968</v>
      </c>
      <c r="Z15" s="19">
        <f t="shared" si="1"/>
        <v>1290.432</v>
      </c>
      <c r="AA15" s="15">
        <f t="shared" si="17"/>
        <v>387.1296</v>
      </c>
      <c r="AB15" s="15">
        <f t="shared" si="18"/>
        <v>135.49535999999998</v>
      </c>
      <c r="AC15" s="12">
        <f t="shared" si="19"/>
        <v>116.13887999999999</v>
      </c>
      <c r="AD15" s="58">
        <f t="shared" si="2"/>
        <v>665.808</v>
      </c>
      <c r="AE15" s="15">
        <f t="shared" si="20"/>
        <v>166.452</v>
      </c>
      <c r="AF15" s="15">
        <f t="shared" si="21"/>
        <v>49.9356</v>
      </c>
      <c r="AG15" s="48">
        <f t="shared" si="22"/>
        <v>33.2904</v>
      </c>
      <c r="AH15" s="76" t="s">
        <v>268</v>
      </c>
      <c r="AI15" s="19">
        <f t="shared" si="3"/>
        <v>105.6</v>
      </c>
      <c r="AJ15" s="15">
        <f t="shared" si="23"/>
        <v>21.12</v>
      </c>
      <c r="AK15" s="15">
        <f t="shared" si="24"/>
        <v>21.12</v>
      </c>
      <c r="AL15" s="15">
        <f t="shared" si="25"/>
        <v>12.672</v>
      </c>
      <c r="AM15" s="49">
        <v>1</v>
      </c>
      <c r="AN15" s="16">
        <v>0.95</v>
      </c>
      <c r="AO15" s="49">
        <v>1</v>
      </c>
      <c r="AP15" s="16">
        <v>1</v>
      </c>
      <c r="AQ15" s="16">
        <v>0.95</v>
      </c>
      <c r="AR15" s="16">
        <v>1</v>
      </c>
      <c r="AS15" s="16">
        <v>0.8</v>
      </c>
      <c r="AT15" s="16">
        <v>0.85</v>
      </c>
      <c r="AU15" s="16">
        <v>0.85</v>
      </c>
      <c r="AV15" s="49">
        <v>0.95</v>
      </c>
      <c r="AW15" s="49">
        <v>0.8</v>
      </c>
    </row>
    <row r="16" spans="1:49" s="17" customFormat="1" ht="18.75" customHeight="1">
      <c r="A16" s="76" t="s">
        <v>269</v>
      </c>
      <c r="B16" s="77">
        <v>10500</v>
      </c>
      <c r="C16" s="12">
        <f t="shared" si="4"/>
        <v>7875</v>
      </c>
      <c r="D16" s="12">
        <f t="shared" si="5"/>
        <v>7875</v>
      </c>
      <c r="E16" s="13">
        <v>12</v>
      </c>
      <c r="F16" s="13">
        <v>6</v>
      </c>
      <c r="G16" s="13">
        <v>6</v>
      </c>
      <c r="H16" s="13">
        <v>9</v>
      </c>
      <c r="I16" s="13">
        <v>12</v>
      </c>
      <c r="J16" s="14">
        <v>0.8</v>
      </c>
      <c r="K16" s="14">
        <v>0.95</v>
      </c>
      <c r="L16" s="14">
        <v>0.9</v>
      </c>
      <c r="M16" s="58">
        <f t="shared" si="6"/>
        <v>634.2</v>
      </c>
      <c r="N16" s="58">
        <f t="shared" si="7"/>
        <v>101.85000000000001</v>
      </c>
      <c r="O16" s="15">
        <f t="shared" si="8"/>
        <v>91.665</v>
      </c>
      <c r="P16" s="15">
        <f t="shared" si="9"/>
        <v>570.7800000000001</v>
      </c>
      <c r="Q16" s="15">
        <f t="shared" si="10"/>
        <v>539.07</v>
      </c>
      <c r="R16" s="76" t="s">
        <v>269</v>
      </c>
      <c r="S16" s="15">
        <f t="shared" si="11"/>
        <v>96.75750000000001</v>
      </c>
      <c r="T16" s="15">
        <f t="shared" si="12"/>
        <v>91.665</v>
      </c>
      <c r="U16" s="15">
        <f t="shared" si="13"/>
        <v>96.75750000000001</v>
      </c>
      <c r="V16" s="15">
        <f t="shared" si="14"/>
        <v>86.5725</v>
      </c>
      <c r="W16" s="19">
        <f t="shared" si="0"/>
        <v>926.1</v>
      </c>
      <c r="X16" s="15">
        <f t="shared" si="15"/>
        <v>648.27</v>
      </c>
      <c r="Y16" s="15">
        <f t="shared" si="16"/>
        <v>648.27</v>
      </c>
      <c r="Z16" s="19">
        <f t="shared" si="1"/>
        <v>1026.48</v>
      </c>
      <c r="AA16" s="15">
        <f t="shared" si="17"/>
        <v>307.944</v>
      </c>
      <c r="AB16" s="15">
        <f t="shared" si="18"/>
        <v>107.7804</v>
      </c>
      <c r="AC16" s="12">
        <f t="shared" si="19"/>
        <v>92.3832</v>
      </c>
      <c r="AD16" s="58">
        <f t="shared" si="2"/>
        <v>529.62</v>
      </c>
      <c r="AE16" s="15">
        <f t="shared" si="20"/>
        <v>132.405</v>
      </c>
      <c r="AF16" s="15">
        <f t="shared" si="21"/>
        <v>39.7215</v>
      </c>
      <c r="AG16" s="48">
        <f t="shared" si="22"/>
        <v>26.481</v>
      </c>
      <c r="AH16" s="76" t="s">
        <v>269</v>
      </c>
      <c r="AI16" s="19">
        <f t="shared" si="3"/>
        <v>84</v>
      </c>
      <c r="AJ16" s="15">
        <f t="shared" si="23"/>
        <v>16.8</v>
      </c>
      <c r="AK16" s="15">
        <f t="shared" si="24"/>
        <v>16.8</v>
      </c>
      <c r="AL16" s="15">
        <f t="shared" si="25"/>
        <v>10.08</v>
      </c>
      <c r="AM16" s="49">
        <v>1</v>
      </c>
      <c r="AN16" s="16">
        <v>0.95</v>
      </c>
      <c r="AO16" s="49">
        <v>1</v>
      </c>
      <c r="AP16" s="16">
        <v>1</v>
      </c>
      <c r="AQ16" s="16">
        <v>0.95</v>
      </c>
      <c r="AR16" s="16">
        <v>1</v>
      </c>
      <c r="AS16" s="16">
        <v>0.8</v>
      </c>
      <c r="AT16" s="16">
        <v>0.85</v>
      </c>
      <c r="AU16" s="16">
        <v>0.85</v>
      </c>
      <c r="AV16" s="49">
        <v>0.95</v>
      </c>
      <c r="AW16" s="49">
        <v>0.8</v>
      </c>
    </row>
    <row r="17" spans="1:49" s="17" customFormat="1" ht="18.75" customHeight="1">
      <c r="A17" s="76" t="s">
        <v>270</v>
      </c>
      <c r="B17" s="77">
        <v>11300</v>
      </c>
      <c r="C17" s="12">
        <f t="shared" si="4"/>
        <v>8475</v>
      </c>
      <c r="D17" s="12">
        <f t="shared" si="5"/>
        <v>8475</v>
      </c>
      <c r="E17" s="13">
        <v>12</v>
      </c>
      <c r="F17" s="13">
        <v>6</v>
      </c>
      <c r="G17" s="13">
        <v>6</v>
      </c>
      <c r="H17" s="13">
        <v>9</v>
      </c>
      <c r="I17" s="13">
        <v>12</v>
      </c>
      <c r="J17" s="14">
        <v>0.8</v>
      </c>
      <c r="K17" s="14">
        <v>0.95</v>
      </c>
      <c r="L17" s="14">
        <v>0.9</v>
      </c>
      <c r="M17" s="58">
        <f t="shared" si="6"/>
        <v>682.52</v>
      </c>
      <c r="N17" s="58">
        <f t="shared" si="7"/>
        <v>109.61</v>
      </c>
      <c r="O17" s="15">
        <f t="shared" si="8"/>
        <v>98.649</v>
      </c>
      <c r="P17" s="15">
        <f t="shared" si="9"/>
        <v>614.268</v>
      </c>
      <c r="Q17" s="15">
        <f t="shared" si="10"/>
        <v>580.1419999999999</v>
      </c>
      <c r="R17" s="76" t="s">
        <v>270</v>
      </c>
      <c r="S17" s="15">
        <f t="shared" si="11"/>
        <v>104.1295</v>
      </c>
      <c r="T17" s="15">
        <f t="shared" si="12"/>
        <v>98.649</v>
      </c>
      <c r="U17" s="15">
        <f t="shared" si="13"/>
        <v>104.1295</v>
      </c>
      <c r="V17" s="15">
        <f t="shared" si="14"/>
        <v>93.1685</v>
      </c>
      <c r="W17" s="19">
        <f t="shared" si="0"/>
        <v>996.66</v>
      </c>
      <c r="X17" s="15">
        <f t="shared" si="15"/>
        <v>697.6619999999999</v>
      </c>
      <c r="Y17" s="15">
        <f t="shared" si="16"/>
        <v>697.6619999999999</v>
      </c>
      <c r="Z17" s="19">
        <f t="shared" si="1"/>
        <v>1104.688</v>
      </c>
      <c r="AA17" s="15">
        <f t="shared" si="17"/>
        <v>331.4064</v>
      </c>
      <c r="AB17" s="15">
        <f t="shared" si="18"/>
        <v>115.99224</v>
      </c>
      <c r="AC17" s="12">
        <f t="shared" si="19"/>
        <v>99.42192</v>
      </c>
      <c r="AD17" s="58">
        <f t="shared" si="2"/>
        <v>569.972</v>
      </c>
      <c r="AE17" s="15">
        <f t="shared" si="20"/>
        <v>142.493</v>
      </c>
      <c r="AF17" s="15">
        <f t="shared" si="21"/>
        <v>42.747899999999994</v>
      </c>
      <c r="AG17" s="48">
        <f t="shared" si="22"/>
        <v>28.4986</v>
      </c>
      <c r="AH17" s="76" t="s">
        <v>271</v>
      </c>
      <c r="AI17" s="19">
        <f t="shared" si="3"/>
        <v>90.4</v>
      </c>
      <c r="AJ17" s="15">
        <f t="shared" si="23"/>
        <v>18.080000000000002</v>
      </c>
      <c r="AK17" s="15">
        <f t="shared" si="24"/>
        <v>18.080000000000002</v>
      </c>
      <c r="AL17" s="15">
        <f t="shared" si="25"/>
        <v>10.848</v>
      </c>
      <c r="AM17" s="49">
        <v>1</v>
      </c>
      <c r="AN17" s="16">
        <v>0.95</v>
      </c>
      <c r="AO17" s="49">
        <v>1</v>
      </c>
      <c r="AP17" s="16">
        <v>1</v>
      </c>
      <c r="AQ17" s="16">
        <v>0.95</v>
      </c>
      <c r="AR17" s="16">
        <v>1</v>
      </c>
      <c r="AS17" s="16">
        <v>0.8</v>
      </c>
      <c r="AT17" s="16">
        <v>0.85</v>
      </c>
      <c r="AU17" s="16">
        <v>0.85</v>
      </c>
      <c r="AV17" s="49">
        <v>0.95</v>
      </c>
      <c r="AW17" s="49">
        <v>0.8</v>
      </c>
    </row>
    <row r="18" spans="1:49" s="17" customFormat="1" ht="18.75" customHeight="1">
      <c r="A18" s="76" t="s">
        <v>272</v>
      </c>
      <c r="B18" s="77">
        <v>10356</v>
      </c>
      <c r="C18" s="12">
        <f t="shared" si="4"/>
        <v>7767</v>
      </c>
      <c r="D18" s="12">
        <f t="shared" si="5"/>
        <v>7767</v>
      </c>
      <c r="E18" s="13">
        <v>12</v>
      </c>
      <c r="F18" s="13">
        <v>6</v>
      </c>
      <c r="G18" s="13">
        <v>6</v>
      </c>
      <c r="H18" s="13">
        <v>9</v>
      </c>
      <c r="I18" s="13">
        <v>12</v>
      </c>
      <c r="J18" s="14">
        <v>0.8</v>
      </c>
      <c r="K18" s="14">
        <v>0.95</v>
      </c>
      <c r="L18" s="14">
        <v>0.9</v>
      </c>
      <c r="M18" s="58">
        <f t="shared" si="6"/>
        <v>625.5024000000001</v>
      </c>
      <c r="N18" s="58">
        <f t="shared" si="7"/>
        <v>100.45320000000001</v>
      </c>
      <c r="O18" s="15">
        <f t="shared" si="8"/>
        <v>90.40788</v>
      </c>
      <c r="P18" s="15">
        <f t="shared" si="9"/>
        <v>562.95216</v>
      </c>
      <c r="Q18" s="15">
        <f t="shared" si="10"/>
        <v>531.67704</v>
      </c>
      <c r="R18" s="76" t="s">
        <v>272</v>
      </c>
      <c r="S18" s="15">
        <f t="shared" si="11"/>
        <v>95.43054000000001</v>
      </c>
      <c r="T18" s="15">
        <f t="shared" si="12"/>
        <v>90.40788</v>
      </c>
      <c r="U18" s="15">
        <f t="shared" si="13"/>
        <v>95.43054000000001</v>
      </c>
      <c r="V18" s="15">
        <f t="shared" si="14"/>
        <v>85.38522</v>
      </c>
      <c r="W18" s="19">
        <f t="shared" si="0"/>
        <v>913.3992</v>
      </c>
      <c r="X18" s="15">
        <f t="shared" si="15"/>
        <v>639.3794399999999</v>
      </c>
      <c r="Y18" s="15">
        <f t="shared" si="16"/>
        <v>639.3794399999999</v>
      </c>
      <c r="Z18" s="19">
        <f t="shared" si="1"/>
        <v>1012.40256</v>
      </c>
      <c r="AA18" s="15">
        <f t="shared" si="17"/>
        <v>303.72076799999996</v>
      </c>
      <c r="AB18" s="15">
        <f t="shared" si="18"/>
        <v>106.30226879999998</v>
      </c>
      <c r="AC18" s="12">
        <f t="shared" si="19"/>
        <v>91.11623039999999</v>
      </c>
      <c r="AD18" s="58">
        <f t="shared" si="2"/>
        <v>522.35664</v>
      </c>
      <c r="AE18" s="15">
        <f t="shared" si="20"/>
        <v>130.58916</v>
      </c>
      <c r="AF18" s="15">
        <f t="shared" si="21"/>
        <v>39.176747999999996</v>
      </c>
      <c r="AG18" s="48">
        <f t="shared" si="22"/>
        <v>26.117832</v>
      </c>
      <c r="AH18" s="76" t="s">
        <v>273</v>
      </c>
      <c r="AI18" s="19">
        <f t="shared" si="3"/>
        <v>82.848</v>
      </c>
      <c r="AJ18" s="15">
        <f t="shared" si="23"/>
        <v>16.5696</v>
      </c>
      <c r="AK18" s="15">
        <f t="shared" si="24"/>
        <v>16.5696</v>
      </c>
      <c r="AL18" s="15">
        <f t="shared" si="25"/>
        <v>9.94176</v>
      </c>
      <c r="AM18" s="49">
        <v>1</v>
      </c>
      <c r="AN18" s="16">
        <v>0.95</v>
      </c>
      <c r="AO18" s="49">
        <v>1</v>
      </c>
      <c r="AP18" s="16">
        <v>1</v>
      </c>
      <c r="AQ18" s="16">
        <v>0.95</v>
      </c>
      <c r="AR18" s="16">
        <v>1</v>
      </c>
      <c r="AS18" s="16">
        <v>0.8</v>
      </c>
      <c r="AT18" s="16">
        <v>0.85</v>
      </c>
      <c r="AU18" s="16">
        <v>0.85</v>
      </c>
      <c r="AV18" s="49">
        <v>0.95</v>
      </c>
      <c r="AW18" s="49">
        <v>0.8</v>
      </c>
    </row>
    <row r="19" spans="1:49" s="17" customFormat="1" ht="18.75" customHeight="1">
      <c r="A19" s="76" t="s">
        <v>274</v>
      </c>
      <c r="B19" s="79">
        <v>8660</v>
      </c>
      <c r="C19" s="12">
        <f t="shared" si="4"/>
        <v>6495</v>
      </c>
      <c r="D19" s="12">
        <f t="shared" si="5"/>
        <v>6495</v>
      </c>
      <c r="E19" s="13">
        <v>12</v>
      </c>
      <c r="F19" s="13">
        <v>6</v>
      </c>
      <c r="G19" s="13">
        <v>6</v>
      </c>
      <c r="H19" s="13">
        <v>9</v>
      </c>
      <c r="I19" s="13">
        <v>12</v>
      </c>
      <c r="J19" s="14">
        <v>0.8</v>
      </c>
      <c r="K19" s="14">
        <v>0.95</v>
      </c>
      <c r="L19" s="14">
        <v>0.9</v>
      </c>
      <c r="M19" s="58">
        <f t="shared" si="6"/>
        <v>523.064</v>
      </c>
      <c r="N19" s="58">
        <f t="shared" si="7"/>
        <v>84.00200000000001</v>
      </c>
      <c r="O19" s="15">
        <f t="shared" si="8"/>
        <v>75.60180000000001</v>
      </c>
      <c r="P19" s="15">
        <f t="shared" si="9"/>
        <v>470.75759999999997</v>
      </c>
      <c r="Q19" s="15">
        <f t="shared" si="10"/>
        <v>444.60439999999994</v>
      </c>
      <c r="R19" s="76" t="s">
        <v>275</v>
      </c>
      <c r="S19" s="15">
        <f t="shared" si="11"/>
        <v>79.8019</v>
      </c>
      <c r="T19" s="15">
        <f t="shared" si="12"/>
        <v>75.60180000000001</v>
      </c>
      <c r="U19" s="15">
        <f t="shared" si="13"/>
        <v>79.8019</v>
      </c>
      <c r="V19" s="15">
        <f t="shared" si="14"/>
        <v>71.4017</v>
      </c>
      <c r="W19" s="19">
        <f t="shared" si="0"/>
        <v>763.812</v>
      </c>
      <c r="X19" s="15">
        <f t="shared" si="15"/>
        <v>534.6684</v>
      </c>
      <c r="Y19" s="15">
        <f t="shared" si="16"/>
        <v>534.6684</v>
      </c>
      <c r="Z19" s="19">
        <f t="shared" si="1"/>
        <v>846.6016</v>
      </c>
      <c r="AA19" s="15">
        <f t="shared" si="17"/>
        <v>253.98047999999997</v>
      </c>
      <c r="AB19" s="15">
        <f t="shared" si="18"/>
        <v>88.89316799999999</v>
      </c>
      <c r="AC19" s="12">
        <f t="shared" si="19"/>
        <v>76.194144</v>
      </c>
      <c r="AD19" s="58">
        <f t="shared" si="2"/>
        <v>436.8104</v>
      </c>
      <c r="AE19" s="15">
        <f t="shared" si="20"/>
        <v>109.2026</v>
      </c>
      <c r="AF19" s="15">
        <f t="shared" si="21"/>
        <v>32.76078</v>
      </c>
      <c r="AG19" s="48">
        <f t="shared" si="22"/>
        <v>21.84052</v>
      </c>
      <c r="AH19" s="76" t="s">
        <v>275</v>
      </c>
      <c r="AI19" s="19">
        <f t="shared" si="3"/>
        <v>69.28</v>
      </c>
      <c r="AJ19" s="15">
        <f t="shared" si="23"/>
        <v>13.856000000000002</v>
      </c>
      <c r="AK19" s="15">
        <f t="shared" si="24"/>
        <v>13.856000000000002</v>
      </c>
      <c r="AL19" s="15">
        <f t="shared" si="25"/>
        <v>8.313600000000001</v>
      </c>
      <c r="AM19" s="49">
        <v>1</v>
      </c>
      <c r="AN19" s="16">
        <v>0.95</v>
      </c>
      <c r="AO19" s="49">
        <v>1</v>
      </c>
      <c r="AP19" s="16">
        <v>1</v>
      </c>
      <c r="AQ19" s="16">
        <v>0.95</v>
      </c>
      <c r="AR19" s="16">
        <v>1</v>
      </c>
      <c r="AS19" s="16">
        <v>0.8</v>
      </c>
      <c r="AT19" s="16">
        <v>0.85</v>
      </c>
      <c r="AU19" s="16">
        <v>0.85</v>
      </c>
      <c r="AV19" s="49">
        <v>0.95</v>
      </c>
      <c r="AW19" s="49">
        <v>0.8</v>
      </c>
    </row>
    <row r="20" spans="1:49" s="17" customFormat="1" ht="18.75" customHeight="1">
      <c r="A20" s="76" t="s">
        <v>276</v>
      </c>
      <c r="B20" s="80">
        <v>15463</v>
      </c>
      <c r="C20" s="12">
        <f t="shared" si="4"/>
        <v>11597.25</v>
      </c>
      <c r="D20" s="12">
        <f t="shared" si="5"/>
        <v>11597.25</v>
      </c>
      <c r="E20" s="13">
        <v>12</v>
      </c>
      <c r="F20" s="13">
        <v>6</v>
      </c>
      <c r="G20" s="13">
        <v>6</v>
      </c>
      <c r="H20" s="13">
        <v>9</v>
      </c>
      <c r="I20" s="13">
        <v>12</v>
      </c>
      <c r="J20" s="14">
        <v>0.8</v>
      </c>
      <c r="K20" s="14">
        <v>0.95</v>
      </c>
      <c r="L20" s="14">
        <v>0.9</v>
      </c>
      <c r="M20" s="58">
        <f t="shared" si="6"/>
        <v>933.9652</v>
      </c>
      <c r="N20" s="58">
        <f t="shared" si="7"/>
        <v>149.99110000000002</v>
      </c>
      <c r="O20" s="15">
        <f t="shared" si="8"/>
        <v>134.99199000000002</v>
      </c>
      <c r="P20" s="15">
        <f t="shared" si="9"/>
        <v>840.56868</v>
      </c>
      <c r="Q20" s="15">
        <f t="shared" si="10"/>
        <v>793.87042</v>
      </c>
      <c r="R20" s="76" t="s">
        <v>277</v>
      </c>
      <c r="S20" s="15">
        <f t="shared" si="11"/>
        <v>142.491545</v>
      </c>
      <c r="T20" s="15">
        <f t="shared" si="12"/>
        <v>134.99199000000002</v>
      </c>
      <c r="U20" s="15">
        <f t="shared" si="13"/>
        <v>142.491545</v>
      </c>
      <c r="V20" s="15">
        <f t="shared" si="14"/>
        <v>127.49243500000001</v>
      </c>
      <c r="W20" s="19">
        <f t="shared" si="0"/>
        <v>1363.8366</v>
      </c>
      <c r="X20" s="15">
        <f t="shared" si="15"/>
        <v>954.68562</v>
      </c>
      <c r="Y20" s="15">
        <f t="shared" si="16"/>
        <v>954.68562</v>
      </c>
      <c r="Z20" s="19">
        <f t="shared" si="1"/>
        <v>1511.66288</v>
      </c>
      <c r="AA20" s="15">
        <f t="shared" si="17"/>
        <v>453.498864</v>
      </c>
      <c r="AB20" s="15">
        <f t="shared" si="18"/>
        <v>158.7246024</v>
      </c>
      <c r="AC20" s="12">
        <f t="shared" si="19"/>
        <v>136.0496592</v>
      </c>
      <c r="AD20" s="58">
        <f t="shared" si="2"/>
        <v>779.9537200000001</v>
      </c>
      <c r="AE20" s="15">
        <f t="shared" si="20"/>
        <v>194.98843000000002</v>
      </c>
      <c r="AF20" s="15">
        <f t="shared" si="21"/>
        <v>58.496529</v>
      </c>
      <c r="AG20" s="48">
        <f t="shared" si="22"/>
        <v>38.99768600000001</v>
      </c>
      <c r="AH20" s="76" t="s">
        <v>277</v>
      </c>
      <c r="AI20" s="19">
        <f t="shared" si="3"/>
        <v>123.704</v>
      </c>
      <c r="AJ20" s="15">
        <f t="shared" si="23"/>
        <v>24.7408</v>
      </c>
      <c r="AK20" s="15">
        <f t="shared" si="24"/>
        <v>24.7408</v>
      </c>
      <c r="AL20" s="15">
        <f t="shared" si="25"/>
        <v>14.844479999999999</v>
      </c>
      <c r="AM20" s="49">
        <v>1</v>
      </c>
      <c r="AN20" s="16">
        <v>0.95</v>
      </c>
      <c r="AO20" s="49">
        <v>1</v>
      </c>
      <c r="AP20" s="16">
        <v>1</v>
      </c>
      <c r="AQ20" s="16">
        <v>0.95</v>
      </c>
      <c r="AR20" s="16">
        <v>1</v>
      </c>
      <c r="AS20" s="16">
        <v>0.8</v>
      </c>
      <c r="AT20" s="16">
        <v>0.85</v>
      </c>
      <c r="AU20" s="16">
        <v>0.85</v>
      </c>
      <c r="AV20" s="49">
        <v>0.95</v>
      </c>
      <c r="AW20" s="49">
        <v>0.8</v>
      </c>
    </row>
    <row r="21" spans="1:49" s="17" customFormat="1" ht="18.75" customHeight="1">
      <c r="A21" s="76" t="s">
        <v>278</v>
      </c>
      <c r="B21" s="77">
        <v>16700</v>
      </c>
      <c r="C21" s="12">
        <f t="shared" si="4"/>
        <v>12525</v>
      </c>
      <c r="D21" s="12">
        <f t="shared" si="5"/>
        <v>12525</v>
      </c>
      <c r="E21" s="13">
        <v>12</v>
      </c>
      <c r="F21" s="13">
        <v>6</v>
      </c>
      <c r="G21" s="13">
        <v>6</v>
      </c>
      <c r="H21" s="13">
        <v>9</v>
      </c>
      <c r="I21" s="13">
        <v>12</v>
      </c>
      <c r="J21" s="14">
        <v>0.8</v>
      </c>
      <c r="K21" s="14">
        <v>0.95</v>
      </c>
      <c r="L21" s="14">
        <v>0.9</v>
      </c>
      <c r="M21" s="58">
        <f t="shared" si="6"/>
        <v>1008.6800000000001</v>
      </c>
      <c r="N21" s="58">
        <f t="shared" si="7"/>
        <v>161.99</v>
      </c>
      <c r="O21" s="15">
        <f t="shared" si="8"/>
        <v>145.79100000000003</v>
      </c>
      <c r="P21" s="15">
        <f t="shared" si="9"/>
        <v>907.8120000000001</v>
      </c>
      <c r="Q21" s="15">
        <f t="shared" si="10"/>
        <v>857.378</v>
      </c>
      <c r="R21" s="76" t="s">
        <v>279</v>
      </c>
      <c r="S21" s="15">
        <f t="shared" si="11"/>
        <v>153.8905</v>
      </c>
      <c r="T21" s="15">
        <f t="shared" si="12"/>
        <v>145.79100000000003</v>
      </c>
      <c r="U21" s="15">
        <f t="shared" si="13"/>
        <v>153.8905</v>
      </c>
      <c r="V21" s="15">
        <f t="shared" si="14"/>
        <v>137.6915</v>
      </c>
      <c r="W21" s="19">
        <f t="shared" si="0"/>
        <v>1472.94</v>
      </c>
      <c r="X21" s="15">
        <f t="shared" si="15"/>
        <v>1031.058</v>
      </c>
      <c r="Y21" s="15">
        <f t="shared" si="16"/>
        <v>1031.058</v>
      </c>
      <c r="Z21" s="19">
        <f t="shared" si="1"/>
        <v>1632.592</v>
      </c>
      <c r="AA21" s="15">
        <f t="shared" si="17"/>
        <v>489.7776</v>
      </c>
      <c r="AB21" s="15">
        <f t="shared" si="18"/>
        <v>171.42216</v>
      </c>
      <c r="AC21" s="12">
        <f t="shared" si="19"/>
        <v>146.93328</v>
      </c>
      <c r="AD21" s="58">
        <f t="shared" si="2"/>
        <v>842.3480000000001</v>
      </c>
      <c r="AE21" s="15">
        <f t="shared" si="20"/>
        <v>210.58700000000002</v>
      </c>
      <c r="AF21" s="15">
        <f t="shared" si="21"/>
        <v>63.176100000000005</v>
      </c>
      <c r="AG21" s="48">
        <f t="shared" si="22"/>
        <v>42.1174</v>
      </c>
      <c r="AH21" s="76" t="s">
        <v>279</v>
      </c>
      <c r="AI21" s="19">
        <f t="shared" si="3"/>
        <v>133.6</v>
      </c>
      <c r="AJ21" s="15">
        <f t="shared" si="23"/>
        <v>26.72</v>
      </c>
      <c r="AK21" s="15">
        <f t="shared" si="24"/>
        <v>26.72</v>
      </c>
      <c r="AL21" s="15">
        <f t="shared" si="25"/>
        <v>16.032</v>
      </c>
      <c r="AM21" s="49">
        <v>1</v>
      </c>
      <c r="AN21" s="16">
        <v>0.95</v>
      </c>
      <c r="AO21" s="49">
        <v>1</v>
      </c>
      <c r="AP21" s="16">
        <v>1</v>
      </c>
      <c r="AQ21" s="16">
        <v>0.95</v>
      </c>
      <c r="AR21" s="16">
        <v>1</v>
      </c>
      <c r="AS21" s="16">
        <v>0.8</v>
      </c>
      <c r="AT21" s="16">
        <v>0.85</v>
      </c>
      <c r="AU21" s="16">
        <v>0.85</v>
      </c>
      <c r="AV21" s="49">
        <v>0.95</v>
      </c>
      <c r="AW21" s="49">
        <v>0.8</v>
      </c>
    </row>
    <row r="22" spans="1:49" s="17" customFormat="1" ht="18.75" customHeight="1">
      <c r="A22" s="76" t="s">
        <v>280</v>
      </c>
      <c r="B22" s="77">
        <v>5080</v>
      </c>
      <c r="C22" s="12">
        <f t="shared" si="4"/>
        <v>3810</v>
      </c>
      <c r="D22" s="12">
        <f t="shared" si="5"/>
        <v>3810</v>
      </c>
      <c r="E22" s="13">
        <v>12</v>
      </c>
      <c r="F22" s="13">
        <v>6</v>
      </c>
      <c r="G22" s="13">
        <v>6</v>
      </c>
      <c r="H22" s="13">
        <v>9</v>
      </c>
      <c r="I22" s="13">
        <v>12</v>
      </c>
      <c r="J22" s="14">
        <v>0.8</v>
      </c>
      <c r="K22" s="14">
        <v>0.95</v>
      </c>
      <c r="L22" s="14">
        <v>0.9</v>
      </c>
      <c r="M22" s="58">
        <f t="shared" si="6"/>
        <v>306.832</v>
      </c>
      <c r="N22" s="58">
        <f t="shared" si="7"/>
        <v>49.276</v>
      </c>
      <c r="O22" s="15">
        <f t="shared" si="8"/>
        <v>44.348400000000005</v>
      </c>
      <c r="P22" s="15">
        <f t="shared" si="9"/>
        <v>276.1488</v>
      </c>
      <c r="Q22" s="15">
        <f t="shared" si="10"/>
        <v>260.80719999999997</v>
      </c>
      <c r="R22" s="76" t="s">
        <v>281</v>
      </c>
      <c r="S22" s="15">
        <f t="shared" si="11"/>
        <v>46.812200000000004</v>
      </c>
      <c r="T22" s="15">
        <f t="shared" si="12"/>
        <v>44.348400000000005</v>
      </c>
      <c r="U22" s="15">
        <f t="shared" si="13"/>
        <v>46.812200000000004</v>
      </c>
      <c r="V22" s="15">
        <f t="shared" si="14"/>
        <v>41.8846</v>
      </c>
      <c r="W22" s="19">
        <f t="shared" si="0"/>
        <v>448.056</v>
      </c>
      <c r="X22" s="15">
        <f t="shared" si="15"/>
        <v>313.63919999999996</v>
      </c>
      <c r="Y22" s="15">
        <f t="shared" si="16"/>
        <v>313.63919999999996</v>
      </c>
      <c r="Z22" s="19">
        <f t="shared" si="1"/>
        <v>496.6208</v>
      </c>
      <c r="AA22" s="15">
        <f t="shared" si="17"/>
        <v>148.98623999999998</v>
      </c>
      <c r="AB22" s="15">
        <f t="shared" si="18"/>
        <v>52.14518399999999</v>
      </c>
      <c r="AC22" s="12">
        <f t="shared" si="19"/>
        <v>44.695871999999994</v>
      </c>
      <c r="AD22" s="58">
        <f t="shared" si="2"/>
        <v>256.2352</v>
      </c>
      <c r="AE22" s="15">
        <f t="shared" si="20"/>
        <v>64.0588</v>
      </c>
      <c r="AF22" s="15">
        <f t="shared" si="21"/>
        <v>19.21764</v>
      </c>
      <c r="AG22" s="48">
        <f t="shared" si="22"/>
        <v>12.811760000000001</v>
      </c>
      <c r="AH22" s="76" t="s">
        <v>281</v>
      </c>
      <c r="AI22" s="19">
        <f t="shared" si="3"/>
        <v>40.64</v>
      </c>
      <c r="AJ22" s="15">
        <f t="shared" si="23"/>
        <v>8.128</v>
      </c>
      <c r="AK22" s="15">
        <f t="shared" si="24"/>
        <v>8.128</v>
      </c>
      <c r="AL22" s="15">
        <f t="shared" si="25"/>
        <v>4.8768</v>
      </c>
      <c r="AM22" s="49">
        <v>1</v>
      </c>
      <c r="AN22" s="16">
        <v>0.95</v>
      </c>
      <c r="AO22" s="49">
        <v>1</v>
      </c>
      <c r="AP22" s="16">
        <v>1</v>
      </c>
      <c r="AQ22" s="16">
        <v>0.95</v>
      </c>
      <c r="AR22" s="16">
        <v>1</v>
      </c>
      <c r="AS22" s="16">
        <v>0.8</v>
      </c>
      <c r="AT22" s="16">
        <v>0.85</v>
      </c>
      <c r="AU22" s="16">
        <v>0.85</v>
      </c>
      <c r="AV22" s="49">
        <v>0.95</v>
      </c>
      <c r="AW22" s="49">
        <v>0.8</v>
      </c>
    </row>
    <row r="23" spans="1:49" s="17" customFormat="1" ht="18.75" customHeight="1">
      <c r="A23" s="76" t="s">
        <v>282</v>
      </c>
      <c r="B23" s="79">
        <v>13000</v>
      </c>
      <c r="C23" s="12">
        <f t="shared" si="4"/>
        <v>9750</v>
      </c>
      <c r="D23" s="12">
        <f t="shared" si="5"/>
        <v>9750</v>
      </c>
      <c r="E23" s="13">
        <v>12</v>
      </c>
      <c r="F23" s="13">
        <v>6</v>
      </c>
      <c r="G23" s="13">
        <v>6</v>
      </c>
      <c r="H23" s="13">
        <v>9</v>
      </c>
      <c r="I23" s="13">
        <v>12</v>
      </c>
      <c r="J23" s="14">
        <v>0.8</v>
      </c>
      <c r="K23" s="14">
        <v>0.95</v>
      </c>
      <c r="L23" s="14">
        <v>0.9</v>
      </c>
      <c r="M23" s="58">
        <f t="shared" si="6"/>
        <v>785.2</v>
      </c>
      <c r="N23" s="58">
        <f t="shared" si="7"/>
        <v>126.10000000000001</v>
      </c>
      <c r="O23" s="15">
        <f t="shared" si="8"/>
        <v>113.49000000000001</v>
      </c>
      <c r="P23" s="15">
        <f t="shared" si="9"/>
        <v>706.6800000000001</v>
      </c>
      <c r="Q23" s="15">
        <f t="shared" si="10"/>
        <v>667.4200000000001</v>
      </c>
      <c r="R23" s="76" t="s">
        <v>283</v>
      </c>
      <c r="S23" s="15">
        <f t="shared" si="11"/>
        <v>119.795</v>
      </c>
      <c r="T23" s="15">
        <f t="shared" si="12"/>
        <v>113.49000000000001</v>
      </c>
      <c r="U23" s="15">
        <f t="shared" si="13"/>
        <v>119.795</v>
      </c>
      <c r="V23" s="15">
        <f t="shared" si="14"/>
        <v>107.185</v>
      </c>
      <c r="W23" s="19">
        <f t="shared" si="0"/>
        <v>1146.6</v>
      </c>
      <c r="X23" s="15">
        <f t="shared" si="15"/>
        <v>802.6199999999999</v>
      </c>
      <c r="Y23" s="15">
        <f t="shared" si="16"/>
        <v>802.6199999999999</v>
      </c>
      <c r="Z23" s="19">
        <f t="shared" si="1"/>
        <v>1270.88</v>
      </c>
      <c r="AA23" s="15">
        <f t="shared" si="17"/>
        <v>381.264</v>
      </c>
      <c r="AB23" s="15">
        <f t="shared" si="18"/>
        <v>133.4424</v>
      </c>
      <c r="AC23" s="12">
        <f t="shared" si="19"/>
        <v>114.3792</v>
      </c>
      <c r="AD23" s="58">
        <f t="shared" si="2"/>
        <v>655.72</v>
      </c>
      <c r="AE23" s="15">
        <f t="shared" si="20"/>
        <v>163.93</v>
      </c>
      <c r="AF23" s="15">
        <f t="shared" si="21"/>
        <v>49.179</v>
      </c>
      <c r="AG23" s="48">
        <f t="shared" si="22"/>
        <v>32.786</v>
      </c>
      <c r="AH23" s="76" t="s">
        <v>283</v>
      </c>
      <c r="AI23" s="19">
        <f t="shared" si="3"/>
        <v>104</v>
      </c>
      <c r="AJ23" s="15">
        <f t="shared" si="23"/>
        <v>20.8</v>
      </c>
      <c r="AK23" s="15">
        <f t="shared" si="24"/>
        <v>20.8</v>
      </c>
      <c r="AL23" s="15">
        <f t="shared" si="25"/>
        <v>12.48</v>
      </c>
      <c r="AM23" s="49">
        <v>1</v>
      </c>
      <c r="AN23" s="16">
        <v>0.95</v>
      </c>
      <c r="AO23" s="49">
        <v>1</v>
      </c>
      <c r="AP23" s="16">
        <v>1</v>
      </c>
      <c r="AQ23" s="16">
        <v>0.95</v>
      </c>
      <c r="AR23" s="16">
        <v>1</v>
      </c>
      <c r="AS23" s="16">
        <v>0.8</v>
      </c>
      <c r="AT23" s="16">
        <v>0.85</v>
      </c>
      <c r="AU23" s="16">
        <v>0.85</v>
      </c>
      <c r="AV23" s="49">
        <v>0.95</v>
      </c>
      <c r="AW23" s="49">
        <v>0.8</v>
      </c>
    </row>
    <row r="24" spans="1:49" s="17" customFormat="1" ht="18.75" customHeight="1">
      <c r="A24" s="76" t="s">
        <v>284</v>
      </c>
      <c r="B24" s="81">
        <v>6750</v>
      </c>
      <c r="C24" s="12">
        <f t="shared" si="4"/>
        <v>5062.5</v>
      </c>
      <c r="D24" s="12">
        <f t="shared" si="5"/>
        <v>5062.5</v>
      </c>
      <c r="E24" s="13">
        <v>12</v>
      </c>
      <c r="F24" s="13">
        <v>6</v>
      </c>
      <c r="G24" s="13">
        <v>6</v>
      </c>
      <c r="H24" s="13">
        <v>9</v>
      </c>
      <c r="I24" s="13">
        <v>12</v>
      </c>
      <c r="J24" s="14">
        <v>0.8</v>
      </c>
      <c r="K24" s="14">
        <v>0.95</v>
      </c>
      <c r="L24" s="14">
        <v>0.9</v>
      </c>
      <c r="M24" s="58">
        <f t="shared" si="6"/>
        <v>407.7</v>
      </c>
      <c r="N24" s="58">
        <f t="shared" si="7"/>
        <v>65.47500000000001</v>
      </c>
      <c r="O24" s="15">
        <f t="shared" si="8"/>
        <v>58.92750000000001</v>
      </c>
      <c r="P24" s="15">
        <f t="shared" si="9"/>
        <v>366.93</v>
      </c>
      <c r="Q24" s="15">
        <f t="shared" si="10"/>
        <v>346.54499999999996</v>
      </c>
      <c r="R24" s="76" t="s">
        <v>285</v>
      </c>
      <c r="S24" s="15">
        <f t="shared" si="11"/>
        <v>62.20125</v>
      </c>
      <c r="T24" s="15">
        <f t="shared" si="12"/>
        <v>58.92750000000001</v>
      </c>
      <c r="U24" s="15">
        <f t="shared" si="13"/>
        <v>62.20125</v>
      </c>
      <c r="V24" s="15">
        <f t="shared" si="14"/>
        <v>55.65375</v>
      </c>
      <c r="W24" s="19">
        <f t="shared" si="0"/>
        <v>595.35</v>
      </c>
      <c r="X24" s="15">
        <f t="shared" si="15"/>
        <v>416.745</v>
      </c>
      <c r="Y24" s="15">
        <f t="shared" si="16"/>
        <v>416.745</v>
      </c>
      <c r="Z24" s="19">
        <f t="shared" si="1"/>
        <v>659.88</v>
      </c>
      <c r="AA24" s="15">
        <f t="shared" si="17"/>
        <v>197.964</v>
      </c>
      <c r="AB24" s="15">
        <f t="shared" si="18"/>
        <v>69.28739999999999</v>
      </c>
      <c r="AC24" s="12">
        <f t="shared" si="19"/>
        <v>59.389199999999995</v>
      </c>
      <c r="AD24" s="58">
        <f t="shared" si="2"/>
        <v>340.47</v>
      </c>
      <c r="AE24" s="15">
        <f t="shared" si="20"/>
        <v>85.1175</v>
      </c>
      <c r="AF24" s="15">
        <f t="shared" si="21"/>
        <v>25.53525</v>
      </c>
      <c r="AG24" s="48">
        <f t="shared" si="22"/>
        <v>17.023500000000002</v>
      </c>
      <c r="AH24" s="76" t="s">
        <v>285</v>
      </c>
      <c r="AI24" s="19">
        <f t="shared" si="3"/>
        <v>54</v>
      </c>
      <c r="AJ24" s="15">
        <f t="shared" si="23"/>
        <v>10.8</v>
      </c>
      <c r="AK24" s="15">
        <f t="shared" si="24"/>
        <v>10.8</v>
      </c>
      <c r="AL24" s="15">
        <f t="shared" si="25"/>
        <v>6.48</v>
      </c>
      <c r="AM24" s="49">
        <v>1</v>
      </c>
      <c r="AN24" s="16">
        <v>0.95</v>
      </c>
      <c r="AO24" s="49">
        <v>1</v>
      </c>
      <c r="AP24" s="16">
        <v>1</v>
      </c>
      <c r="AQ24" s="16">
        <v>0.95</v>
      </c>
      <c r="AR24" s="16">
        <v>1</v>
      </c>
      <c r="AS24" s="16">
        <v>0.8</v>
      </c>
      <c r="AT24" s="16">
        <v>0.85</v>
      </c>
      <c r="AU24" s="16">
        <v>0.85</v>
      </c>
      <c r="AV24" s="49">
        <v>0.95</v>
      </c>
      <c r="AW24" s="49">
        <v>0.8</v>
      </c>
    </row>
    <row r="25" spans="1:49" s="17" customFormat="1" ht="18.75" customHeight="1">
      <c r="A25" s="76" t="s">
        <v>286</v>
      </c>
      <c r="B25" s="82">
        <v>934</v>
      </c>
      <c r="C25" s="12">
        <f t="shared" si="4"/>
        <v>700.5</v>
      </c>
      <c r="D25" s="12">
        <f t="shared" si="5"/>
        <v>700.5</v>
      </c>
      <c r="E25" s="13">
        <v>12</v>
      </c>
      <c r="F25" s="13">
        <v>6</v>
      </c>
      <c r="G25" s="13">
        <v>6</v>
      </c>
      <c r="H25" s="13">
        <v>9</v>
      </c>
      <c r="I25" s="13">
        <v>12</v>
      </c>
      <c r="J25" s="14">
        <v>0.8</v>
      </c>
      <c r="K25" s="14">
        <v>0.95</v>
      </c>
      <c r="L25" s="14">
        <v>0.9</v>
      </c>
      <c r="M25" s="58">
        <f t="shared" si="6"/>
        <v>56.4136</v>
      </c>
      <c r="N25" s="58">
        <f t="shared" si="7"/>
        <v>9.059800000000001</v>
      </c>
      <c r="O25" s="15">
        <f t="shared" si="8"/>
        <v>8.153820000000001</v>
      </c>
      <c r="P25" s="15">
        <f t="shared" si="9"/>
        <v>50.772240000000004</v>
      </c>
      <c r="Q25" s="15">
        <f t="shared" si="10"/>
        <v>47.95156</v>
      </c>
      <c r="R25" s="76" t="s">
        <v>287</v>
      </c>
      <c r="S25" s="15">
        <f t="shared" si="11"/>
        <v>8.606810000000001</v>
      </c>
      <c r="T25" s="15">
        <f t="shared" si="12"/>
        <v>8.153820000000001</v>
      </c>
      <c r="U25" s="15">
        <f t="shared" si="13"/>
        <v>8.606810000000001</v>
      </c>
      <c r="V25" s="15">
        <f t="shared" si="14"/>
        <v>7.700830000000001</v>
      </c>
      <c r="W25" s="19">
        <f>B25*0.0882</f>
        <v>82.3788</v>
      </c>
      <c r="X25" s="15">
        <f t="shared" si="15"/>
        <v>57.66515999999999</v>
      </c>
      <c r="Y25" s="15">
        <f t="shared" si="16"/>
        <v>57.66515999999999</v>
      </c>
      <c r="Z25" s="19">
        <f>B25*0.52*0.188</f>
        <v>91.30784</v>
      </c>
      <c r="AA25" s="15">
        <f t="shared" si="17"/>
        <v>27.392352</v>
      </c>
      <c r="AB25" s="15">
        <f t="shared" si="18"/>
        <v>9.587323199999998</v>
      </c>
      <c r="AC25" s="12">
        <f t="shared" si="19"/>
        <v>8.217705599999999</v>
      </c>
      <c r="AD25" s="58">
        <f>B25*0.52*0.097</f>
        <v>47.11096</v>
      </c>
      <c r="AE25" s="15">
        <f t="shared" si="20"/>
        <v>11.77774</v>
      </c>
      <c r="AF25" s="15">
        <f t="shared" si="21"/>
        <v>3.5333219999999996</v>
      </c>
      <c r="AG25" s="48">
        <f t="shared" si="22"/>
        <v>2.355548</v>
      </c>
      <c r="AH25" s="76" t="s">
        <v>288</v>
      </c>
      <c r="AI25" s="19">
        <f>B25*8/1000</f>
        <v>7.472</v>
      </c>
      <c r="AJ25" s="15">
        <f t="shared" si="23"/>
        <v>1.4944000000000002</v>
      </c>
      <c r="AK25" s="15">
        <f t="shared" si="24"/>
        <v>1.4944000000000002</v>
      </c>
      <c r="AL25" s="15">
        <f t="shared" si="25"/>
        <v>0.8966400000000001</v>
      </c>
      <c r="AM25" s="49">
        <v>1</v>
      </c>
      <c r="AN25" s="16">
        <v>0.95</v>
      </c>
      <c r="AO25" s="49">
        <v>1</v>
      </c>
      <c r="AP25" s="16">
        <v>1</v>
      </c>
      <c r="AQ25" s="16">
        <v>0.95</v>
      </c>
      <c r="AR25" s="16">
        <v>1</v>
      </c>
      <c r="AS25" s="16">
        <v>0.8</v>
      </c>
      <c r="AT25" s="16">
        <v>0.85</v>
      </c>
      <c r="AU25" s="16">
        <v>0.85</v>
      </c>
      <c r="AV25" s="49">
        <v>0.95</v>
      </c>
      <c r="AW25" s="49">
        <v>0.8</v>
      </c>
    </row>
    <row r="26" spans="1:49" s="17" customFormat="1" ht="18.75" customHeight="1">
      <c r="A26" s="76" t="s">
        <v>289</v>
      </c>
      <c r="B26" s="82">
        <v>1305</v>
      </c>
      <c r="C26" s="12">
        <f t="shared" si="4"/>
        <v>978.75</v>
      </c>
      <c r="D26" s="12">
        <f t="shared" si="5"/>
        <v>978.75</v>
      </c>
      <c r="E26" s="13">
        <v>12</v>
      </c>
      <c r="F26" s="13">
        <v>6</v>
      </c>
      <c r="G26" s="13">
        <v>6</v>
      </c>
      <c r="H26" s="13">
        <v>9</v>
      </c>
      <c r="I26" s="13">
        <v>12</v>
      </c>
      <c r="J26" s="14">
        <v>0.8</v>
      </c>
      <c r="K26" s="14">
        <v>0.95</v>
      </c>
      <c r="L26" s="14">
        <v>0.9</v>
      </c>
      <c r="M26" s="58">
        <f t="shared" si="6"/>
        <v>78.822</v>
      </c>
      <c r="N26" s="58">
        <f t="shared" si="7"/>
        <v>12.6585</v>
      </c>
      <c r="O26" s="15">
        <f t="shared" si="8"/>
        <v>11.39265</v>
      </c>
      <c r="P26" s="15">
        <f t="shared" si="9"/>
        <v>70.9398</v>
      </c>
      <c r="Q26" s="15">
        <f t="shared" si="10"/>
        <v>66.9987</v>
      </c>
      <c r="R26" s="76" t="s">
        <v>290</v>
      </c>
      <c r="S26" s="15">
        <f t="shared" si="11"/>
        <v>12.025575</v>
      </c>
      <c r="T26" s="15">
        <f t="shared" si="12"/>
        <v>11.39265</v>
      </c>
      <c r="U26" s="15">
        <f t="shared" si="13"/>
        <v>12.025575</v>
      </c>
      <c r="V26" s="15">
        <f t="shared" si="14"/>
        <v>10.759725</v>
      </c>
      <c r="W26" s="19">
        <f>B26*0.0882</f>
        <v>115.101</v>
      </c>
      <c r="X26" s="15">
        <f t="shared" si="15"/>
        <v>80.57069999999999</v>
      </c>
      <c r="Y26" s="15">
        <f t="shared" si="16"/>
        <v>80.57069999999999</v>
      </c>
      <c r="Z26" s="19">
        <f>B26*0.52*0.188</f>
        <v>127.5768</v>
      </c>
      <c r="AA26" s="15">
        <f t="shared" si="17"/>
        <v>38.27304</v>
      </c>
      <c r="AB26" s="15">
        <f t="shared" si="18"/>
        <v>13.395564</v>
      </c>
      <c r="AC26" s="12">
        <f t="shared" si="19"/>
        <v>11.481912</v>
      </c>
      <c r="AD26" s="58">
        <f>B26*0.52*0.097</f>
        <v>65.8242</v>
      </c>
      <c r="AE26" s="15">
        <f t="shared" si="20"/>
        <v>16.45605</v>
      </c>
      <c r="AF26" s="15">
        <f t="shared" si="21"/>
        <v>4.936815</v>
      </c>
      <c r="AG26" s="48">
        <f t="shared" si="22"/>
        <v>3.2912100000000004</v>
      </c>
      <c r="AH26" s="76" t="s">
        <v>290</v>
      </c>
      <c r="AI26" s="19">
        <f>B26*8/1000</f>
        <v>10.44</v>
      </c>
      <c r="AJ26" s="15">
        <f t="shared" si="23"/>
        <v>2.088</v>
      </c>
      <c r="AK26" s="15">
        <f t="shared" si="24"/>
        <v>2.088</v>
      </c>
      <c r="AL26" s="15">
        <f t="shared" si="25"/>
        <v>1.2528</v>
      </c>
      <c r="AM26" s="49">
        <v>1</v>
      </c>
      <c r="AN26" s="16">
        <v>0.95</v>
      </c>
      <c r="AO26" s="49">
        <v>1</v>
      </c>
      <c r="AP26" s="16">
        <v>1</v>
      </c>
      <c r="AQ26" s="16">
        <v>0.95</v>
      </c>
      <c r="AR26" s="16">
        <v>1</v>
      </c>
      <c r="AS26" s="16">
        <v>0.8</v>
      </c>
      <c r="AT26" s="16">
        <v>0.85</v>
      </c>
      <c r="AU26" s="16">
        <v>0.85</v>
      </c>
      <c r="AV26" s="49">
        <v>0.95</v>
      </c>
      <c r="AW26" s="49">
        <v>0.8</v>
      </c>
    </row>
    <row r="27" spans="1:49" s="23" customFormat="1" ht="18.75" customHeight="1">
      <c r="A27" s="62" t="s">
        <v>26</v>
      </c>
      <c r="B27" s="18">
        <f>SUM(B7:B26)</f>
        <v>196300</v>
      </c>
      <c r="C27" s="18">
        <f>SUM(C7:C26)</f>
        <v>147225</v>
      </c>
      <c r="D27" s="19">
        <f>SUM(D7:D26)</f>
        <v>147225</v>
      </c>
      <c r="E27" s="18">
        <v>12</v>
      </c>
      <c r="F27" s="18">
        <v>6</v>
      </c>
      <c r="G27" s="18">
        <f>SUM(G7:G26)</f>
        <v>120</v>
      </c>
      <c r="H27" s="18">
        <f>SUM(H7:H26)</f>
        <v>180</v>
      </c>
      <c r="I27" s="18">
        <f>SUM(I7:I26)</f>
        <v>240</v>
      </c>
      <c r="J27" s="20">
        <v>0.8</v>
      </c>
      <c r="K27" s="20">
        <v>0.95</v>
      </c>
      <c r="L27" s="20">
        <v>0.9</v>
      </c>
      <c r="M27" s="21">
        <f>SUM(M7:M26)</f>
        <v>11856.520000000002</v>
      </c>
      <c r="N27" s="21">
        <f>SUM(N7:N26)</f>
        <v>1904.1099999999997</v>
      </c>
      <c r="O27" s="19">
        <f>SUM(O7:O26)</f>
        <v>1713.699</v>
      </c>
      <c r="P27" s="19">
        <f>SUM(P7:P26)</f>
        <v>10670.868</v>
      </c>
      <c r="Q27" s="19">
        <f>SUM(Q7:Q26)</f>
        <v>10078.042</v>
      </c>
      <c r="R27" s="62" t="s">
        <v>149</v>
      </c>
      <c r="S27" s="19">
        <f aca="true" t="shared" si="26" ref="S27:AG27">SUM(S7:S26)</f>
        <v>1808.9045</v>
      </c>
      <c r="T27" s="19">
        <f t="shared" si="26"/>
        <v>1713.699</v>
      </c>
      <c r="U27" s="19">
        <f t="shared" si="26"/>
        <v>1808.9045</v>
      </c>
      <c r="V27" s="19">
        <f t="shared" si="26"/>
        <v>1618.4935</v>
      </c>
      <c r="W27" s="19">
        <f t="shared" si="26"/>
        <v>17313.659999999996</v>
      </c>
      <c r="X27" s="19">
        <f t="shared" si="26"/>
        <v>12119.562</v>
      </c>
      <c r="Y27" s="19">
        <f t="shared" si="26"/>
        <v>12119.562</v>
      </c>
      <c r="Z27" s="19">
        <f t="shared" si="26"/>
        <v>19190.288000000004</v>
      </c>
      <c r="AA27" s="19">
        <f t="shared" si="26"/>
        <v>5757.0864</v>
      </c>
      <c r="AB27" s="19">
        <f t="shared" si="26"/>
        <v>2014.9802399999996</v>
      </c>
      <c r="AC27" s="22">
        <f t="shared" si="26"/>
        <v>1727.1259200000002</v>
      </c>
      <c r="AD27" s="19">
        <f t="shared" si="26"/>
        <v>9901.372</v>
      </c>
      <c r="AE27" s="19">
        <f t="shared" si="26"/>
        <v>2475.343</v>
      </c>
      <c r="AF27" s="22">
        <f t="shared" si="26"/>
        <v>742.6029</v>
      </c>
      <c r="AG27" s="22">
        <f t="shared" si="26"/>
        <v>495.06860000000006</v>
      </c>
      <c r="AH27" s="62" t="s">
        <v>149</v>
      </c>
      <c r="AI27" s="22">
        <f>SUM(AI7:AI26)</f>
        <v>1570.4</v>
      </c>
      <c r="AJ27" s="22">
        <f>SUM(AJ7:AJ26)</f>
        <v>314.0800000000001</v>
      </c>
      <c r="AK27" s="22">
        <f>SUM(AK7:AK26)</f>
        <v>314.0800000000001</v>
      </c>
      <c r="AL27" s="22">
        <f>SUM(AL7:AL26)</f>
        <v>188.448</v>
      </c>
      <c r="AM27" s="109">
        <v>1</v>
      </c>
      <c r="AN27" s="50">
        <v>1</v>
      </c>
      <c r="AO27" s="109">
        <v>1</v>
      </c>
      <c r="AP27" s="50">
        <v>1</v>
      </c>
      <c r="AQ27" s="50">
        <v>0.95</v>
      </c>
      <c r="AR27" s="50">
        <v>1</v>
      </c>
      <c r="AS27" s="50">
        <v>0.8</v>
      </c>
      <c r="AT27" s="50">
        <v>0.85</v>
      </c>
      <c r="AU27" s="50">
        <v>0.85</v>
      </c>
      <c r="AV27" s="109">
        <v>0.95</v>
      </c>
      <c r="AW27" s="109">
        <v>0.8</v>
      </c>
    </row>
    <row r="28" spans="1:39" s="26" customFormat="1" ht="14.25" customHeight="1">
      <c r="A28" s="150" t="s">
        <v>85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24"/>
      <c r="AK28" s="24"/>
      <c r="AL28" s="24"/>
      <c r="AM28" s="25"/>
    </row>
    <row r="29" spans="12:39" ht="14.25">
      <c r="L29" s="64"/>
      <c r="AM29" s="64"/>
    </row>
    <row r="30" spans="12:39" ht="14.25">
      <c r="L30" s="64"/>
      <c r="AM30" s="64"/>
    </row>
  </sheetData>
  <sheetProtection/>
  <mergeCells count="65">
    <mergeCell ref="AV5:AV6"/>
    <mergeCell ref="AM3:AU4"/>
    <mergeCell ref="AV3:AV4"/>
    <mergeCell ref="AW3:AW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1:Q1"/>
    <mergeCell ref="R1:AG1"/>
    <mergeCell ref="AH1:AQ1"/>
    <mergeCell ref="AD2:AI2"/>
    <mergeCell ref="A3:A4"/>
    <mergeCell ref="B3:B6"/>
    <mergeCell ref="C3:D4"/>
    <mergeCell ref="E3:J4"/>
    <mergeCell ref="J5:J6"/>
    <mergeCell ref="AD3:AG4"/>
    <mergeCell ref="AH3:AH4"/>
    <mergeCell ref="K3:L4"/>
    <mergeCell ref="M3:Q4"/>
    <mergeCell ref="R3:R4"/>
    <mergeCell ref="S3:V4"/>
    <mergeCell ref="K5:K6"/>
    <mergeCell ref="L5:L6"/>
    <mergeCell ref="AI3:AL4"/>
    <mergeCell ref="C5:C6"/>
    <mergeCell ref="D5:D6"/>
    <mergeCell ref="E5:E6"/>
    <mergeCell ref="F5:F6"/>
    <mergeCell ref="G5:G6"/>
    <mergeCell ref="H5:H6"/>
    <mergeCell ref="I5:I6"/>
    <mergeCell ref="W3:Y4"/>
    <mergeCell ref="Z3:AC4"/>
    <mergeCell ref="M5:M6"/>
    <mergeCell ref="N5:N6"/>
    <mergeCell ref="O5:O6"/>
    <mergeCell ref="P5:P6"/>
    <mergeCell ref="Q5:Q6"/>
    <mergeCell ref="S5:S6"/>
    <mergeCell ref="T5:T6"/>
    <mergeCell ref="U5:U6"/>
    <mergeCell ref="V5:V6"/>
    <mergeCell ref="W5:W6"/>
    <mergeCell ref="AE5:AE6"/>
    <mergeCell ref="X5:X6"/>
    <mergeCell ref="Y5:Y6"/>
    <mergeCell ref="Z5:Z6"/>
    <mergeCell ref="AA5:AA6"/>
    <mergeCell ref="A28:AI28"/>
    <mergeCell ref="AK5:AK6"/>
    <mergeCell ref="AL5:AL6"/>
    <mergeCell ref="AF5:AF6"/>
    <mergeCell ref="AG5:AG6"/>
    <mergeCell ref="AI5:AI6"/>
    <mergeCell ref="AJ5:AJ6"/>
    <mergeCell ref="AB5:AB6"/>
    <mergeCell ref="AC5:AC6"/>
    <mergeCell ref="AD5:AD6"/>
  </mergeCells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W31"/>
  <sheetViews>
    <sheetView workbookViewId="0" topLeftCell="A4">
      <selection activeCell="U26" sqref="U26"/>
    </sheetView>
  </sheetViews>
  <sheetFormatPr defaultColWidth="9.00390625" defaultRowHeight="14.25"/>
  <cols>
    <col min="1" max="1" width="10.00390625" style="63" customWidth="1"/>
    <col min="2" max="2" width="7.875" style="1" customWidth="1"/>
    <col min="3" max="4" width="7.00390625" style="3" customWidth="1"/>
    <col min="5" max="9" width="6.375" style="3" customWidth="1"/>
    <col min="10" max="12" width="7.00390625" style="3" customWidth="1"/>
    <col min="13" max="14" width="6.75390625" style="1" customWidth="1"/>
    <col min="15" max="15" width="6.75390625" style="6" customWidth="1"/>
    <col min="16" max="17" width="6.75390625" style="7" customWidth="1"/>
    <col min="18" max="18" width="9.875" style="7" customWidth="1"/>
    <col min="19" max="19" width="7.125" style="4" customWidth="1"/>
    <col min="20" max="20" width="9.625" style="4" customWidth="1"/>
    <col min="21" max="21" width="7.25390625" style="4" customWidth="1"/>
    <col min="22" max="22" width="7.25390625" style="7" customWidth="1"/>
    <col min="23" max="23" width="7.625" style="29" customWidth="1"/>
    <col min="24" max="25" width="7.625" style="4" customWidth="1"/>
    <col min="26" max="26" width="6.75390625" style="2" customWidth="1"/>
    <col min="27" max="28" width="6.75390625" style="4" customWidth="1"/>
    <col min="29" max="29" width="6.75390625" style="8" customWidth="1"/>
    <col min="30" max="30" width="7.25390625" style="30" customWidth="1"/>
    <col min="31" max="32" width="7.25390625" style="8" customWidth="1"/>
    <col min="33" max="33" width="7.25390625" style="4" customWidth="1"/>
    <col min="34" max="34" width="10.00390625" style="4" customWidth="1"/>
    <col min="35" max="35" width="7.625" style="30" customWidth="1"/>
    <col min="36" max="36" width="7.625" style="4" customWidth="1"/>
    <col min="37" max="37" width="6.50390625" style="8" customWidth="1"/>
    <col min="38" max="38" width="7.625" style="8" customWidth="1"/>
    <col min="39" max="49" width="7.25390625" style="3" customWidth="1"/>
    <col min="50" max="16384" width="9.00390625" style="3" customWidth="1"/>
  </cols>
  <sheetData>
    <row r="1" spans="1:49" s="28" customFormat="1" ht="22.5" customHeight="1">
      <c r="A1" s="136" t="s">
        <v>335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 t="s">
        <v>340</v>
      </c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 t="s">
        <v>340</v>
      </c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</row>
    <row r="2" spans="1:38" s="4" customFormat="1" ht="15" customHeight="1">
      <c r="A2" s="171" t="s">
        <v>291</v>
      </c>
      <c r="B2" s="171"/>
      <c r="C2" s="172"/>
      <c r="D2" s="172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9"/>
      <c r="AD2" s="137"/>
      <c r="AE2" s="137"/>
      <c r="AF2" s="137"/>
      <c r="AG2" s="138"/>
      <c r="AH2" s="138"/>
      <c r="AI2" s="137"/>
      <c r="AJ2" s="9"/>
      <c r="AK2" s="10"/>
      <c r="AL2" s="10"/>
    </row>
    <row r="3" spans="1:49" s="11" customFormat="1" ht="17.25" customHeight="1">
      <c r="A3" s="159" t="s">
        <v>158</v>
      </c>
      <c r="B3" s="139" t="s">
        <v>159</v>
      </c>
      <c r="C3" s="123" t="s">
        <v>160</v>
      </c>
      <c r="D3" s="123"/>
      <c r="E3" s="122" t="s">
        <v>161</v>
      </c>
      <c r="F3" s="123"/>
      <c r="G3" s="123"/>
      <c r="H3" s="123"/>
      <c r="I3" s="123"/>
      <c r="J3" s="128"/>
      <c r="K3" s="123" t="s">
        <v>31</v>
      </c>
      <c r="L3" s="123"/>
      <c r="M3" s="122" t="s">
        <v>162</v>
      </c>
      <c r="N3" s="123"/>
      <c r="O3" s="123"/>
      <c r="P3" s="123"/>
      <c r="Q3" s="128"/>
      <c r="R3" s="169" t="s">
        <v>158</v>
      </c>
      <c r="S3" s="122" t="s">
        <v>163</v>
      </c>
      <c r="T3" s="123"/>
      <c r="U3" s="123"/>
      <c r="V3" s="123"/>
      <c r="W3" s="122" t="s">
        <v>164</v>
      </c>
      <c r="X3" s="123"/>
      <c r="Y3" s="123"/>
      <c r="Z3" s="122" t="s">
        <v>165</v>
      </c>
      <c r="AA3" s="123"/>
      <c r="AB3" s="123"/>
      <c r="AC3" s="123"/>
      <c r="AD3" s="122" t="s">
        <v>166</v>
      </c>
      <c r="AE3" s="123"/>
      <c r="AF3" s="123"/>
      <c r="AG3" s="128"/>
      <c r="AH3" s="169" t="s">
        <v>158</v>
      </c>
      <c r="AI3" s="119" t="s">
        <v>167</v>
      </c>
      <c r="AJ3" s="120"/>
      <c r="AK3" s="120"/>
      <c r="AL3" s="120"/>
      <c r="AM3" s="123" t="s">
        <v>336</v>
      </c>
      <c r="AN3" s="123"/>
      <c r="AO3" s="123"/>
      <c r="AP3" s="123"/>
      <c r="AQ3" s="123"/>
      <c r="AR3" s="123"/>
      <c r="AS3" s="123"/>
      <c r="AT3" s="123"/>
      <c r="AU3" s="128"/>
      <c r="AV3" s="151" t="s">
        <v>338</v>
      </c>
      <c r="AW3" s="153" t="s">
        <v>48</v>
      </c>
    </row>
    <row r="4" spans="1:49" s="5" customFormat="1" ht="7.5" customHeight="1">
      <c r="A4" s="160"/>
      <c r="B4" s="140"/>
      <c r="C4" s="125"/>
      <c r="D4" s="125"/>
      <c r="E4" s="124"/>
      <c r="F4" s="125"/>
      <c r="G4" s="125"/>
      <c r="H4" s="125"/>
      <c r="I4" s="125"/>
      <c r="J4" s="129"/>
      <c r="K4" s="125"/>
      <c r="L4" s="125"/>
      <c r="M4" s="124"/>
      <c r="N4" s="125"/>
      <c r="O4" s="125"/>
      <c r="P4" s="125"/>
      <c r="Q4" s="129"/>
      <c r="R4" s="170"/>
      <c r="S4" s="124"/>
      <c r="T4" s="125"/>
      <c r="U4" s="125"/>
      <c r="V4" s="125"/>
      <c r="W4" s="124"/>
      <c r="X4" s="125"/>
      <c r="Y4" s="125"/>
      <c r="Z4" s="124"/>
      <c r="AA4" s="125"/>
      <c r="AB4" s="125"/>
      <c r="AC4" s="125"/>
      <c r="AD4" s="124"/>
      <c r="AE4" s="125"/>
      <c r="AF4" s="125"/>
      <c r="AG4" s="129"/>
      <c r="AH4" s="170"/>
      <c r="AI4" s="141"/>
      <c r="AJ4" s="142"/>
      <c r="AK4" s="142"/>
      <c r="AL4" s="142"/>
      <c r="AM4" s="125"/>
      <c r="AN4" s="125"/>
      <c r="AO4" s="125"/>
      <c r="AP4" s="125"/>
      <c r="AQ4" s="125"/>
      <c r="AR4" s="125"/>
      <c r="AS4" s="125"/>
      <c r="AT4" s="125"/>
      <c r="AU4" s="129"/>
      <c r="AV4" s="152"/>
      <c r="AW4" s="154"/>
    </row>
    <row r="5" spans="1:49" s="5" customFormat="1" ht="26.25" customHeight="1">
      <c r="A5" s="52"/>
      <c r="B5" s="140"/>
      <c r="C5" s="132" t="s">
        <v>168</v>
      </c>
      <c r="D5" s="126" t="s">
        <v>169</v>
      </c>
      <c r="E5" s="144" t="s">
        <v>170</v>
      </c>
      <c r="F5" s="126" t="s">
        <v>171</v>
      </c>
      <c r="G5" s="144" t="s">
        <v>341</v>
      </c>
      <c r="H5" s="126" t="s">
        <v>172</v>
      </c>
      <c r="I5" s="126" t="s">
        <v>173</v>
      </c>
      <c r="J5" s="126" t="s">
        <v>174</v>
      </c>
      <c r="K5" s="126" t="s">
        <v>175</v>
      </c>
      <c r="L5" s="132" t="s">
        <v>176</v>
      </c>
      <c r="M5" s="149" t="s">
        <v>177</v>
      </c>
      <c r="N5" s="149" t="s">
        <v>178</v>
      </c>
      <c r="O5" s="149" t="s">
        <v>179</v>
      </c>
      <c r="P5" s="149" t="s">
        <v>180</v>
      </c>
      <c r="Q5" s="149" t="s">
        <v>181</v>
      </c>
      <c r="R5" s="52"/>
      <c r="S5" s="144" t="s">
        <v>241</v>
      </c>
      <c r="T5" s="144" t="s">
        <v>242</v>
      </c>
      <c r="U5" s="144" t="s">
        <v>243</v>
      </c>
      <c r="V5" s="145" t="s">
        <v>244</v>
      </c>
      <c r="W5" s="126" t="s">
        <v>245</v>
      </c>
      <c r="X5" s="126" t="s">
        <v>246</v>
      </c>
      <c r="Y5" s="126" t="s">
        <v>247</v>
      </c>
      <c r="Z5" s="126" t="s">
        <v>248</v>
      </c>
      <c r="AA5" s="149" t="s">
        <v>249</v>
      </c>
      <c r="AB5" s="149" t="s">
        <v>250</v>
      </c>
      <c r="AC5" s="147" t="s">
        <v>251</v>
      </c>
      <c r="AD5" s="149" t="s">
        <v>252</v>
      </c>
      <c r="AE5" s="149" t="s">
        <v>249</v>
      </c>
      <c r="AF5" s="149" t="s">
        <v>253</v>
      </c>
      <c r="AG5" s="156" t="s">
        <v>254</v>
      </c>
      <c r="AH5" s="52"/>
      <c r="AI5" s="149" t="s">
        <v>182</v>
      </c>
      <c r="AJ5" s="149" t="s">
        <v>183</v>
      </c>
      <c r="AK5" s="126" t="s">
        <v>184</v>
      </c>
      <c r="AL5" s="126" t="s">
        <v>185</v>
      </c>
      <c r="AM5" s="144" t="s">
        <v>18</v>
      </c>
      <c r="AN5" s="144" t="s">
        <v>19</v>
      </c>
      <c r="AO5" s="144" t="s">
        <v>20</v>
      </c>
      <c r="AP5" s="126" t="s">
        <v>329</v>
      </c>
      <c r="AQ5" s="126" t="s">
        <v>330</v>
      </c>
      <c r="AR5" s="126" t="s">
        <v>331</v>
      </c>
      <c r="AS5" s="126" t="s">
        <v>332</v>
      </c>
      <c r="AT5" s="126" t="s">
        <v>333</v>
      </c>
      <c r="AU5" s="126" t="s">
        <v>334</v>
      </c>
      <c r="AV5" s="144" t="s">
        <v>21</v>
      </c>
      <c r="AW5" s="154"/>
    </row>
    <row r="6" spans="1:49" s="5" customFormat="1" ht="54" customHeight="1">
      <c r="A6" s="53" t="s">
        <v>292</v>
      </c>
      <c r="B6" s="118"/>
      <c r="C6" s="133"/>
      <c r="D6" s="127"/>
      <c r="E6" s="144"/>
      <c r="F6" s="127"/>
      <c r="G6" s="144"/>
      <c r="H6" s="127"/>
      <c r="I6" s="127"/>
      <c r="J6" s="127"/>
      <c r="K6" s="127"/>
      <c r="L6" s="133"/>
      <c r="M6" s="127"/>
      <c r="N6" s="127"/>
      <c r="O6" s="127"/>
      <c r="P6" s="127"/>
      <c r="Q6" s="127"/>
      <c r="R6" s="53" t="s">
        <v>292</v>
      </c>
      <c r="S6" s="144"/>
      <c r="T6" s="144"/>
      <c r="U6" s="144"/>
      <c r="V6" s="146"/>
      <c r="W6" s="127"/>
      <c r="X6" s="127"/>
      <c r="Y6" s="127"/>
      <c r="Z6" s="127"/>
      <c r="AA6" s="127"/>
      <c r="AB6" s="127"/>
      <c r="AC6" s="148"/>
      <c r="AD6" s="127"/>
      <c r="AE6" s="127"/>
      <c r="AF6" s="127"/>
      <c r="AG6" s="148"/>
      <c r="AH6" s="53" t="s">
        <v>292</v>
      </c>
      <c r="AI6" s="127"/>
      <c r="AJ6" s="127"/>
      <c r="AK6" s="127"/>
      <c r="AL6" s="127"/>
      <c r="AM6" s="144"/>
      <c r="AN6" s="144"/>
      <c r="AO6" s="144"/>
      <c r="AP6" s="127"/>
      <c r="AQ6" s="127"/>
      <c r="AR6" s="127"/>
      <c r="AS6" s="127"/>
      <c r="AT6" s="127"/>
      <c r="AU6" s="127"/>
      <c r="AV6" s="144"/>
      <c r="AW6" s="155"/>
    </row>
    <row r="7" spans="1:49" s="17" customFormat="1" ht="16.5" customHeight="1">
      <c r="A7" s="83" t="s">
        <v>293</v>
      </c>
      <c r="B7" s="84">
        <v>8509</v>
      </c>
      <c r="C7" s="12">
        <f>B7*0.75</f>
        <v>6381.75</v>
      </c>
      <c r="D7" s="12">
        <f>B7*0.75</f>
        <v>6381.75</v>
      </c>
      <c r="E7" s="13">
        <v>12</v>
      </c>
      <c r="F7" s="13">
        <v>6</v>
      </c>
      <c r="G7" s="13">
        <v>6</v>
      </c>
      <c r="H7" s="13">
        <v>9</v>
      </c>
      <c r="I7" s="13">
        <v>12</v>
      </c>
      <c r="J7" s="14">
        <v>0.8</v>
      </c>
      <c r="K7" s="14">
        <v>0.95</v>
      </c>
      <c r="L7" s="14">
        <v>0.9</v>
      </c>
      <c r="M7" s="58">
        <f>B7*0.0456</f>
        <v>388.0104</v>
      </c>
      <c r="N7" s="58">
        <f>B7*0.0051</f>
        <v>43.395900000000005</v>
      </c>
      <c r="O7" s="15">
        <f>N7*0.9</f>
        <v>39.05631</v>
      </c>
      <c r="P7" s="15">
        <f>M7*0.9</f>
        <v>349.20936</v>
      </c>
      <c r="Q7" s="15">
        <f>M7*0.85</f>
        <v>329.80884</v>
      </c>
      <c r="R7" s="83" t="s">
        <v>293</v>
      </c>
      <c r="S7" s="15">
        <f>N7*0.95</f>
        <v>41.226105000000004</v>
      </c>
      <c r="T7" s="15">
        <f>N7*0.9</f>
        <v>39.05631</v>
      </c>
      <c r="U7" s="15">
        <f>N7*0.95</f>
        <v>41.226105000000004</v>
      </c>
      <c r="V7" s="15">
        <f>N7*0.85</f>
        <v>36.886515</v>
      </c>
      <c r="W7" s="19">
        <f aca="true" t="shared" si="0" ref="W7:W27">B7*0.0882</f>
        <v>750.4938</v>
      </c>
      <c r="X7" s="15">
        <f>W7*0.7</f>
        <v>525.34566</v>
      </c>
      <c r="Y7" s="15">
        <f>W7*0.7</f>
        <v>525.34566</v>
      </c>
      <c r="Z7" s="19">
        <f aca="true" t="shared" si="1" ref="Z7:Z27">B7*0.52*0.188</f>
        <v>831.8398400000001</v>
      </c>
      <c r="AA7" s="15">
        <f>Z7*0.3</f>
        <v>249.55195200000003</v>
      </c>
      <c r="AB7" s="15">
        <f>AA7*0.35</f>
        <v>87.3431832</v>
      </c>
      <c r="AC7" s="12">
        <f>AA7*0.3</f>
        <v>74.8655856</v>
      </c>
      <c r="AD7" s="58">
        <f aca="true" t="shared" si="2" ref="AD7:AD25">B7*0.52*0.097</f>
        <v>429.19396000000006</v>
      </c>
      <c r="AE7" s="15">
        <f>AD7*0.25</f>
        <v>107.29849000000002</v>
      </c>
      <c r="AF7" s="15">
        <f>AE7*0.3</f>
        <v>32.189547000000005</v>
      </c>
      <c r="AG7" s="48">
        <f>AE7*0.2</f>
        <v>21.459698000000003</v>
      </c>
      <c r="AH7" s="83" t="s">
        <v>293</v>
      </c>
      <c r="AI7" s="19">
        <f aca="true" t="shared" si="3" ref="AI7:AI25">B7*8/1000</f>
        <v>68.072</v>
      </c>
      <c r="AJ7" s="15">
        <f>AI7*0.2</f>
        <v>13.614400000000002</v>
      </c>
      <c r="AK7" s="15">
        <f>AI7*0.2</f>
        <v>13.614400000000002</v>
      </c>
      <c r="AL7" s="15">
        <f>AK7*0.6</f>
        <v>8.16864</v>
      </c>
      <c r="AM7" s="16">
        <v>1</v>
      </c>
      <c r="AN7" s="16">
        <v>0.95</v>
      </c>
      <c r="AO7" s="16">
        <v>1</v>
      </c>
      <c r="AP7" s="16">
        <v>1</v>
      </c>
      <c r="AQ7" s="16">
        <v>0.95</v>
      </c>
      <c r="AR7" s="16">
        <v>1</v>
      </c>
      <c r="AS7" s="16">
        <v>0.8</v>
      </c>
      <c r="AT7" s="16">
        <v>0.85</v>
      </c>
      <c r="AU7" s="16">
        <v>0.85</v>
      </c>
      <c r="AV7" s="16">
        <v>0.95</v>
      </c>
      <c r="AW7" s="16">
        <v>0.8</v>
      </c>
    </row>
    <row r="8" spans="1:49" s="17" customFormat="1" ht="16.5" customHeight="1">
      <c r="A8" s="85" t="s">
        <v>294</v>
      </c>
      <c r="B8" s="86">
        <v>5681</v>
      </c>
      <c r="C8" s="12">
        <f aca="true" t="shared" si="4" ref="C8:C27">B8*0.75</f>
        <v>4260.75</v>
      </c>
      <c r="D8" s="12">
        <f aca="true" t="shared" si="5" ref="D8:D27">B8*0.75</f>
        <v>4260.75</v>
      </c>
      <c r="E8" s="13">
        <v>12</v>
      </c>
      <c r="F8" s="13">
        <v>6</v>
      </c>
      <c r="G8" s="13">
        <v>6</v>
      </c>
      <c r="H8" s="13">
        <v>9</v>
      </c>
      <c r="I8" s="13">
        <v>12</v>
      </c>
      <c r="J8" s="14">
        <v>0.8</v>
      </c>
      <c r="K8" s="14">
        <v>0.95</v>
      </c>
      <c r="L8" s="14">
        <v>0.9</v>
      </c>
      <c r="M8" s="58">
        <f aca="true" t="shared" si="6" ref="M8:M27">B8*0.0456</f>
        <v>259.0536</v>
      </c>
      <c r="N8" s="58">
        <f aca="true" t="shared" si="7" ref="N8:N27">B8*0.0051</f>
        <v>28.973100000000002</v>
      </c>
      <c r="O8" s="15">
        <f aca="true" t="shared" si="8" ref="O8:O27">N8*0.6</f>
        <v>17.383860000000002</v>
      </c>
      <c r="P8" s="15">
        <f aca="true" t="shared" si="9" ref="P8:P27">M8*0.9</f>
        <v>233.14824000000002</v>
      </c>
      <c r="Q8" s="15">
        <f aca="true" t="shared" si="10" ref="Q8:Q27">M8*0.85</f>
        <v>220.19556</v>
      </c>
      <c r="R8" s="85" t="s">
        <v>294</v>
      </c>
      <c r="S8" s="15">
        <f aca="true" t="shared" si="11" ref="S8:S27">N8*0.95</f>
        <v>27.524445</v>
      </c>
      <c r="T8" s="15">
        <f aca="true" t="shared" si="12" ref="T8:T27">N8*0.9</f>
        <v>26.07579</v>
      </c>
      <c r="U8" s="15">
        <f aca="true" t="shared" si="13" ref="U8:U27">N8*0.95</f>
        <v>27.524445</v>
      </c>
      <c r="V8" s="15">
        <f aca="true" t="shared" si="14" ref="V8:V27">N8*0.85</f>
        <v>24.627135000000003</v>
      </c>
      <c r="W8" s="19">
        <f t="shared" si="0"/>
        <v>501.0642</v>
      </c>
      <c r="X8" s="15">
        <f aca="true" t="shared" si="15" ref="X8:X27">W8*0.7</f>
        <v>350.74494</v>
      </c>
      <c r="Y8" s="15">
        <f aca="true" t="shared" si="16" ref="Y8:Y27">W8*0.7</f>
        <v>350.74494</v>
      </c>
      <c r="Z8" s="19">
        <f t="shared" si="1"/>
        <v>555.37456</v>
      </c>
      <c r="AA8" s="15">
        <f aca="true" t="shared" si="17" ref="AA8:AA27">Z8*0.3</f>
        <v>166.61236799999998</v>
      </c>
      <c r="AB8" s="15">
        <f aca="true" t="shared" si="18" ref="AB8:AB27">AA8*0.35</f>
        <v>58.314328799999984</v>
      </c>
      <c r="AC8" s="12">
        <f aca="true" t="shared" si="19" ref="AC8:AC27">AA8*0.3</f>
        <v>49.98371039999999</v>
      </c>
      <c r="AD8" s="58">
        <f t="shared" si="2"/>
        <v>286.54964</v>
      </c>
      <c r="AE8" s="15">
        <f aca="true" t="shared" si="20" ref="AE8:AE27">AD8*0.25</f>
        <v>71.63741</v>
      </c>
      <c r="AF8" s="15">
        <f aca="true" t="shared" si="21" ref="AF8:AF27">AE8*0.3</f>
        <v>21.491223</v>
      </c>
      <c r="AG8" s="48">
        <f aca="true" t="shared" si="22" ref="AG8:AG27">AE8*0.2</f>
        <v>14.327482000000002</v>
      </c>
      <c r="AH8" s="85" t="s">
        <v>294</v>
      </c>
      <c r="AI8" s="19">
        <f t="shared" si="3"/>
        <v>45.448</v>
      </c>
      <c r="AJ8" s="15">
        <f aca="true" t="shared" si="23" ref="AJ8:AJ27">AI8*0.2</f>
        <v>9.0896</v>
      </c>
      <c r="AK8" s="15">
        <f aca="true" t="shared" si="24" ref="AK8:AK27">AI8*0.2</f>
        <v>9.0896</v>
      </c>
      <c r="AL8" s="15">
        <f aca="true" t="shared" si="25" ref="AL8:AL27">AK8*0.6</f>
        <v>5.45376</v>
      </c>
      <c r="AM8" s="49">
        <v>1</v>
      </c>
      <c r="AN8" s="16">
        <v>0.95</v>
      </c>
      <c r="AO8" s="49">
        <v>1</v>
      </c>
      <c r="AP8" s="16">
        <v>1</v>
      </c>
      <c r="AQ8" s="16">
        <v>0.95</v>
      </c>
      <c r="AR8" s="16">
        <v>1</v>
      </c>
      <c r="AS8" s="16">
        <v>0.8</v>
      </c>
      <c r="AT8" s="16">
        <v>0.85</v>
      </c>
      <c r="AU8" s="16">
        <v>0.85</v>
      </c>
      <c r="AV8" s="49">
        <v>0.95</v>
      </c>
      <c r="AW8" s="49">
        <v>0.8</v>
      </c>
    </row>
    <row r="9" spans="1:49" s="17" customFormat="1" ht="16.5" customHeight="1">
      <c r="A9" s="87" t="s">
        <v>295</v>
      </c>
      <c r="B9" s="88">
        <v>6028</v>
      </c>
      <c r="C9" s="12">
        <f t="shared" si="4"/>
        <v>4521</v>
      </c>
      <c r="D9" s="12">
        <f t="shared" si="5"/>
        <v>4521</v>
      </c>
      <c r="E9" s="13">
        <v>12</v>
      </c>
      <c r="F9" s="13">
        <v>6</v>
      </c>
      <c r="G9" s="13">
        <v>6</v>
      </c>
      <c r="H9" s="13">
        <v>9</v>
      </c>
      <c r="I9" s="13">
        <v>12</v>
      </c>
      <c r="J9" s="14">
        <v>0.8</v>
      </c>
      <c r="K9" s="14">
        <v>0.95</v>
      </c>
      <c r="L9" s="14">
        <v>0.9</v>
      </c>
      <c r="M9" s="58">
        <f t="shared" si="6"/>
        <v>274.8768</v>
      </c>
      <c r="N9" s="58">
        <f t="shared" si="7"/>
        <v>30.742800000000003</v>
      </c>
      <c r="O9" s="15">
        <f t="shared" si="8"/>
        <v>18.44568</v>
      </c>
      <c r="P9" s="15">
        <f t="shared" si="9"/>
        <v>247.38912000000002</v>
      </c>
      <c r="Q9" s="15">
        <f t="shared" si="10"/>
        <v>233.64527999999999</v>
      </c>
      <c r="R9" s="87" t="s">
        <v>295</v>
      </c>
      <c r="S9" s="15">
        <f t="shared" si="11"/>
        <v>29.20566</v>
      </c>
      <c r="T9" s="15">
        <f t="shared" si="12"/>
        <v>27.668520000000004</v>
      </c>
      <c r="U9" s="15">
        <f t="shared" si="13"/>
        <v>29.20566</v>
      </c>
      <c r="V9" s="15">
        <f t="shared" si="14"/>
        <v>26.13138</v>
      </c>
      <c r="W9" s="19">
        <f t="shared" si="0"/>
        <v>531.6696000000001</v>
      </c>
      <c r="X9" s="15">
        <f t="shared" si="15"/>
        <v>372.16872</v>
      </c>
      <c r="Y9" s="15">
        <f t="shared" si="16"/>
        <v>372.16872</v>
      </c>
      <c r="Z9" s="19">
        <f t="shared" si="1"/>
        <v>589.29728</v>
      </c>
      <c r="AA9" s="15">
        <f t="shared" si="17"/>
        <v>176.789184</v>
      </c>
      <c r="AB9" s="15">
        <f t="shared" si="18"/>
        <v>61.876214399999995</v>
      </c>
      <c r="AC9" s="12">
        <f t="shared" si="19"/>
        <v>53.0367552</v>
      </c>
      <c r="AD9" s="58">
        <f>B9*0.52*0.097</f>
        <v>304.05232</v>
      </c>
      <c r="AE9" s="15">
        <f t="shared" si="20"/>
        <v>76.01308</v>
      </c>
      <c r="AF9" s="15">
        <f t="shared" si="21"/>
        <v>22.803924</v>
      </c>
      <c r="AG9" s="48">
        <f t="shared" si="22"/>
        <v>15.202616</v>
      </c>
      <c r="AH9" s="87" t="s">
        <v>295</v>
      </c>
      <c r="AI9" s="19">
        <f>B9*8/1000</f>
        <v>48.224</v>
      </c>
      <c r="AJ9" s="15">
        <f t="shared" si="23"/>
        <v>9.6448</v>
      </c>
      <c r="AK9" s="15">
        <f t="shared" si="24"/>
        <v>9.6448</v>
      </c>
      <c r="AL9" s="15">
        <f t="shared" si="25"/>
        <v>5.78688</v>
      </c>
      <c r="AM9" s="49">
        <v>1</v>
      </c>
      <c r="AN9" s="16">
        <v>0.95</v>
      </c>
      <c r="AO9" s="49">
        <v>1</v>
      </c>
      <c r="AP9" s="16">
        <v>1</v>
      </c>
      <c r="AQ9" s="16">
        <v>0.95</v>
      </c>
      <c r="AR9" s="16">
        <v>1</v>
      </c>
      <c r="AS9" s="16">
        <v>0.8</v>
      </c>
      <c r="AT9" s="16">
        <v>0.85</v>
      </c>
      <c r="AU9" s="16">
        <v>0.85</v>
      </c>
      <c r="AV9" s="49">
        <v>0.95</v>
      </c>
      <c r="AW9" s="49">
        <v>0.8</v>
      </c>
    </row>
    <row r="10" spans="1:49" s="17" customFormat="1" ht="16.5" customHeight="1">
      <c r="A10" s="87" t="s">
        <v>296</v>
      </c>
      <c r="B10" s="88">
        <v>4610</v>
      </c>
      <c r="C10" s="12">
        <f t="shared" si="4"/>
        <v>3457.5</v>
      </c>
      <c r="D10" s="12">
        <f t="shared" si="5"/>
        <v>3457.5</v>
      </c>
      <c r="E10" s="13">
        <v>12</v>
      </c>
      <c r="F10" s="13">
        <v>6</v>
      </c>
      <c r="G10" s="13">
        <v>6</v>
      </c>
      <c r="H10" s="13">
        <v>9</v>
      </c>
      <c r="I10" s="13">
        <v>12</v>
      </c>
      <c r="J10" s="14">
        <v>0.8</v>
      </c>
      <c r="K10" s="14">
        <v>0.95</v>
      </c>
      <c r="L10" s="14">
        <v>0.9</v>
      </c>
      <c r="M10" s="58">
        <f t="shared" si="6"/>
        <v>210.216</v>
      </c>
      <c r="N10" s="58">
        <f t="shared" si="7"/>
        <v>23.511000000000003</v>
      </c>
      <c r="O10" s="15">
        <f t="shared" si="8"/>
        <v>14.106600000000002</v>
      </c>
      <c r="P10" s="15">
        <f t="shared" si="9"/>
        <v>189.1944</v>
      </c>
      <c r="Q10" s="15">
        <f t="shared" si="10"/>
        <v>178.6836</v>
      </c>
      <c r="R10" s="87" t="s">
        <v>296</v>
      </c>
      <c r="S10" s="15">
        <f t="shared" si="11"/>
        <v>22.33545</v>
      </c>
      <c r="T10" s="15">
        <f t="shared" si="12"/>
        <v>21.159900000000004</v>
      </c>
      <c r="U10" s="15">
        <f t="shared" si="13"/>
        <v>22.33545</v>
      </c>
      <c r="V10" s="15">
        <f t="shared" si="14"/>
        <v>19.984350000000003</v>
      </c>
      <c r="W10" s="19">
        <f t="shared" si="0"/>
        <v>406.602</v>
      </c>
      <c r="X10" s="15">
        <f t="shared" si="15"/>
        <v>284.62139999999994</v>
      </c>
      <c r="Y10" s="15">
        <f t="shared" si="16"/>
        <v>284.62139999999994</v>
      </c>
      <c r="Z10" s="19">
        <f t="shared" si="1"/>
        <v>450.6736000000001</v>
      </c>
      <c r="AA10" s="15">
        <f t="shared" si="17"/>
        <v>135.20208000000002</v>
      </c>
      <c r="AB10" s="15">
        <f t="shared" si="18"/>
        <v>47.320728</v>
      </c>
      <c r="AC10" s="12">
        <f t="shared" si="19"/>
        <v>40.560624000000004</v>
      </c>
      <c r="AD10" s="58">
        <f>B10*0.52*0.097</f>
        <v>232.52840000000003</v>
      </c>
      <c r="AE10" s="15">
        <f t="shared" si="20"/>
        <v>58.13210000000001</v>
      </c>
      <c r="AF10" s="15">
        <f t="shared" si="21"/>
        <v>17.43963</v>
      </c>
      <c r="AG10" s="48">
        <f t="shared" si="22"/>
        <v>11.626420000000003</v>
      </c>
      <c r="AH10" s="87" t="s">
        <v>296</v>
      </c>
      <c r="AI10" s="19">
        <f>B10*8/1000</f>
        <v>36.88</v>
      </c>
      <c r="AJ10" s="15">
        <f t="shared" si="23"/>
        <v>7.376000000000001</v>
      </c>
      <c r="AK10" s="15">
        <f t="shared" si="24"/>
        <v>7.376000000000001</v>
      </c>
      <c r="AL10" s="15">
        <f t="shared" si="25"/>
        <v>4.4256</v>
      </c>
      <c r="AM10" s="49">
        <v>1</v>
      </c>
      <c r="AN10" s="16">
        <v>0.95</v>
      </c>
      <c r="AO10" s="49">
        <v>1</v>
      </c>
      <c r="AP10" s="16">
        <v>1</v>
      </c>
      <c r="AQ10" s="16">
        <v>0.95</v>
      </c>
      <c r="AR10" s="16">
        <v>1</v>
      </c>
      <c r="AS10" s="16">
        <v>0.8</v>
      </c>
      <c r="AT10" s="16">
        <v>0.85</v>
      </c>
      <c r="AU10" s="16">
        <v>0.85</v>
      </c>
      <c r="AV10" s="49">
        <v>0.95</v>
      </c>
      <c r="AW10" s="49">
        <v>0.8</v>
      </c>
    </row>
    <row r="11" spans="1:49" s="17" customFormat="1" ht="16.5" customHeight="1">
      <c r="A11" s="87" t="s">
        <v>297</v>
      </c>
      <c r="B11" s="88">
        <v>2561</v>
      </c>
      <c r="C11" s="12">
        <f t="shared" si="4"/>
        <v>1920.75</v>
      </c>
      <c r="D11" s="12">
        <f t="shared" si="5"/>
        <v>1920.75</v>
      </c>
      <c r="E11" s="13">
        <v>12</v>
      </c>
      <c r="F11" s="13">
        <v>6</v>
      </c>
      <c r="G11" s="13">
        <v>6</v>
      </c>
      <c r="H11" s="13">
        <v>9</v>
      </c>
      <c r="I11" s="13">
        <v>12</v>
      </c>
      <c r="J11" s="14">
        <v>0.8</v>
      </c>
      <c r="K11" s="14">
        <v>0.95</v>
      </c>
      <c r="L11" s="14">
        <v>0.9</v>
      </c>
      <c r="M11" s="58">
        <f t="shared" si="6"/>
        <v>116.7816</v>
      </c>
      <c r="N11" s="58">
        <f t="shared" si="7"/>
        <v>13.061100000000001</v>
      </c>
      <c r="O11" s="15">
        <f t="shared" si="8"/>
        <v>7.83666</v>
      </c>
      <c r="P11" s="15">
        <f t="shared" si="9"/>
        <v>105.10344</v>
      </c>
      <c r="Q11" s="15">
        <f t="shared" si="10"/>
        <v>99.26436</v>
      </c>
      <c r="R11" s="87" t="s">
        <v>297</v>
      </c>
      <c r="S11" s="15">
        <f t="shared" si="11"/>
        <v>12.408045000000001</v>
      </c>
      <c r="T11" s="15">
        <f t="shared" si="12"/>
        <v>11.754990000000001</v>
      </c>
      <c r="U11" s="15">
        <f t="shared" si="13"/>
        <v>12.408045000000001</v>
      </c>
      <c r="V11" s="15">
        <f t="shared" si="14"/>
        <v>11.101935000000001</v>
      </c>
      <c r="W11" s="19">
        <f t="shared" si="0"/>
        <v>225.8802</v>
      </c>
      <c r="X11" s="15">
        <f t="shared" si="15"/>
        <v>158.11614</v>
      </c>
      <c r="Y11" s="15">
        <f t="shared" si="16"/>
        <v>158.11614</v>
      </c>
      <c r="Z11" s="19">
        <f t="shared" si="1"/>
        <v>250.36336</v>
      </c>
      <c r="AA11" s="15">
        <f t="shared" si="17"/>
        <v>75.109008</v>
      </c>
      <c r="AB11" s="15">
        <f t="shared" si="18"/>
        <v>26.2881528</v>
      </c>
      <c r="AC11" s="12">
        <f t="shared" si="19"/>
        <v>22.5327024</v>
      </c>
      <c r="AD11" s="58">
        <f t="shared" si="2"/>
        <v>129.17684</v>
      </c>
      <c r="AE11" s="15">
        <f t="shared" si="20"/>
        <v>32.29421</v>
      </c>
      <c r="AF11" s="15">
        <f t="shared" si="21"/>
        <v>9.688263</v>
      </c>
      <c r="AG11" s="48">
        <f t="shared" si="22"/>
        <v>6.458842000000001</v>
      </c>
      <c r="AH11" s="87" t="s">
        <v>297</v>
      </c>
      <c r="AI11" s="19">
        <f t="shared" si="3"/>
        <v>20.488</v>
      </c>
      <c r="AJ11" s="15">
        <f t="shared" si="23"/>
        <v>4.0976</v>
      </c>
      <c r="AK11" s="15">
        <f t="shared" si="24"/>
        <v>4.0976</v>
      </c>
      <c r="AL11" s="15">
        <f t="shared" si="25"/>
        <v>2.45856</v>
      </c>
      <c r="AM11" s="49">
        <v>1</v>
      </c>
      <c r="AN11" s="16">
        <v>0.95</v>
      </c>
      <c r="AO11" s="49">
        <v>1</v>
      </c>
      <c r="AP11" s="16">
        <v>1</v>
      </c>
      <c r="AQ11" s="16">
        <v>0.95</v>
      </c>
      <c r="AR11" s="16">
        <v>1</v>
      </c>
      <c r="AS11" s="16">
        <v>0.8</v>
      </c>
      <c r="AT11" s="16">
        <v>0.85</v>
      </c>
      <c r="AU11" s="16">
        <v>0.85</v>
      </c>
      <c r="AV11" s="49">
        <v>0.95</v>
      </c>
      <c r="AW11" s="49">
        <v>0.8</v>
      </c>
    </row>
    <row r="12" spans="1:49" s="17" customFormat="1" ht="16.5" customHeight="1">
      <c r="A12" s="89" t="s">
        <v>298</v>
      </c>
      <c r="B12" s="90">
        <v>8235</v>
      </c>
      <c r="C12" s="12">
        <f t="shared" si="4"/>
        <v>6176.25</v>
      </c>
      <c r="D12" s="12">
        <f t="shared" si="5"/>
        <v>6176.25</v>
      </c>
      <c r="E12" s="13">
        <v>12</v>
      </c>
      <c r="F12" s="13">
        <v>6</v>
      </c>
      <c r="G12" s="13">
        <v>6</v>
      </c>
      <c r="H12" s="13">
        <v>9</v>
      </c>
      <c r="I12" s="13">
        <v>12</v>
      </c>
      <c r="J12" s="14">
        <v>0.8</v>
      </c>
      <c r="K12" s="14">
        <v>0.95</v>
      </c>
      <c r="L12" s="14">
        <v>0.9</v>
      </c>
      <c r="M12" s="58">
        <f t="shared" si="6"/>
        <v>375.516</v>
      </c>
      <c r="N12" s="58">
        <f t="shared" si="7"/>
        <v>41.9985</v>
      </c>
      <c r="O12" s="15">
        <f t="shared" si="8"/>
        <v>25.199099999999998</v>
      </c>
      <c r="P12" s="15">
        <f t="shared" si="9"/>
        <v>337.9644</v>
      </c>
      <c r="Q12" s="15">
        <f t="shared" si="10"/>
        <v>319.1886</v>
      </c>
      <c r="R12" s="89" t="s">
        <v>298</v>
      </c>
      <c r="S12" s="15">
        <f t="shared" si="11"/>
        <v>39.898575</v>
      </c>
      <c r="T12" s="15">
        <f t="shared" si="12"/>
        <v>37.79865</v>
      </c>
      <c r="U12" s="15">
        <f t="shared" si="13"/>
        <v>39.898575</v>
      </c>
      <c r="V12" s="15">
        <f t="shared" si="14"/>
        <v>35.698724999999996</v>
      </c>
      <c r="W12" s="19">
        <f t="shared" si="0"/>
        <v>726.327</v>
      </c>
      <c r="X12" s="15">
        <f t="shared" si="15"/>
        <v>508.42889999999994</v>
      </c>
      <c r="Y12" s="15">
        <f t="shared" si="16"/>
        <v>508.42889999999994</v>
      </c>
      <c r="Z12" s="19">
        <f t="shared" si="1"/>
        <v>805.0536</v>
      </c>
      <c r="AA12" s="15">
        <f t="shared" si="17"/>
        <v>241.51608</v>
      </c>
      <c r="AB12" s="15">
        <f t="shared" si="18"/>
        <v>84.530628</v>
      </c>
      <c r="AC12" s="12">
        <f t="shared" si="19"/>
        <v>72.45482399999999</v>
      </c>
      <c r="AD12" s="58">
        <f t="shared" si="2"/>
        <v>415.3734</v>
      </c>
      <c r="AE12" s="15">
        <f t="shared" si="20"/>
        <v>103.84335</v>
      </c>
      <c r="AF12" s="15">
        <f t="shared" si="21"/>
        <v>31.153005</v>
      </c>
      <c r="AG12" s="48">
        <f t="shared" si="22"/>
        <v>20.76867</v>
      </c>
      <c r="AH12" s="89" t="s">
        <v>298</v>
      </c>
      <c r="AI12" s="19">
        <f t="shared" si="3"/>
        <v>65.88</v>
      </c>
      <c r="AJ12" s="15">
        <f t="shared" si="23"/>
        <v>13.176</v>
      </c>
      <c r="AK12" s="15">
        <f t="shared" si="24"/>
        <v>13.176</v>
      </c>
      <c r="AL12" s="15">
        <f t="shared" si="25"/>
        <v>7.9056</v>
      </c>
      <c r="AM12" s="49">
        <v>1</v>
      </c>
      <c r="AN12" s="16">
        <v>0.95</v>
      </c>
      <c r="AO12" s="49">
        <v>1</v>
      </c>
      <c r="AP12" s="16">
        <v>1</v>
      </c>
      <c r="AQ12" s="16">
        <v>0.95</v>
      </c>
      <c r="AR12" s="16">
        <v>1</v>
      </c>
      <c r="AS12" s="16">
        <v>0.8</v>
      </c>
      <c r="AT12" s="16">
        <v>0.85</v>
      </c>
      <c r="AU12" s="16">
        <v>0.85</v>
      </c>
      <c r="AV12" s="49">
        <v>0.95</v>
      </c>
      <c r="AW12" s="49">
        <v>0.8</v>
      </c>
    </row>
    <row r="13" spans="1:49" s="17" customFormat="1" ht="16.5" customHeight="1">
      <c r="A13" s="85" t="s">
        <v>299</v>
      </c>
      <c r="B13" s="86">
        <v>5307</v>
      </c>
      <c r="C13" s="12">
        <f t="shared" si="4"/>
        <v>3980.25</v>
      </c>
      <c r="D13" s="12">
        <f t="shared" si="5"/>
        <v>3980.25</v>
      </c>
      <c r="E13" s="13">
        <v>12</v>
      </c>
      <c r="F13" s="13">
        <v>6</v>
      </c>
      <c r="G13" s="13">
        <v>6</v>
      </c>
      <c r="H13" s="13">
        <v>9</v>
      </c>
      <c r="I13" s="13">
        <v>12</v>
      </c>
      <c r="J13" s="14">
        <v>0.8</v>
      </c>
      <c r="K13" s="14">
        <v>0.95</v>
      </c>
      <c r="L13" s="14">
        <v>0.9</v>
      </c>
      <c r="M13" s="58">
        <f t="shared" si="6"/>
        <v>241.9992</v>
      </c>
      <c r="N13" s="58">
        <f t="shared" si="7"/>
        <v>27.065700000000003</v>
      </c>
      <c r="O13" s="15">
        <f t="shared" si="8"/>
        <v>16.239420000000003</v>
      </c>
      <c r="P13" s="15">
        <f t="shared" si="9"/>
        <v>217.79928</v>
      </c>
      <c r="Q13" s="15">
        <f t="shared" si="10"/>
        <v>205.69932</v>
      </c>
      <c r="R13" s="85" t="s">
        <v>299</v>
      </c>
      <c r="S13" s="15">
        <f t="shared" si="11"/>
        <v>25.712415000000004</v>
      </c>
      <c r="T13" s="15">
        <f t="shared" si="12"/>
        <v>24.359130000000004</v>
      </c>
      <c r="U13" s="15">
        <f t="shared" si="13"/>
        <v>25.712415000000004</v>
      </c>
      <c r="V13" s="15">
        <f t="shared" si="14"/>
        <v>23.005845</v>
      </c>
      <c r="W13" s="19">
        <f t="shared" si="0"/>
        <v>468.0774</v>
      </c>
      <c r="X13" s="15">
        <f t="shared" si="15"/>
        <v>327.65418</v>
      </c>
      <c r="Y13" s="15">
        <f t="shared" si="16"/>
        <v>327.65418</v>
      </c>
      <c r="Z13" s="19">
        <f t="shared" si="1"/>
        <v>518.81232</v>
      </c>
      <c r="AA13" s="15">
        <f t="shared" si="17"/>
        <v>155.643696</v>
      </c>
      <c r="AB13" s="15">
        <f t="shared" si="18"/>
        <v>54.4752936</v>
      </c>
      <c r="AC13" s="12">
        <f t="shared" si="19"/>
        <v>46.6931088</v>
      </c>
      <c r="AD13" s="58">
        <f t="shared" si="2"/>
        <v>267.68507999999997</v>
      </c>
      <c r="AE13" s="15">
        <f t="shared" si="20"/>
        <v>66.92126999999999</v>
      </c>
      <c r="AF13" s="15">
        <f t="shared" si="21"/>
        <v>20.076380999999998</v>
      </c>
      <c r="AG13" s="48">
        <f t="shared" si="22"/>
        <v>13.384253999999999</v>
      </c>
      <c r="AH13" s="85" t="s">
        <v>299</v>
      </c>
      <c r="AI13" s="19">
        <f t="shared" si="3"/>
        <v>42.456</v>
      </c>
      <c r="AJ13" s="15">
        <f t="shared" si="23"/>
        <v>8.491200000000001</v>
      </c>
      <c r="AK13" s="15">
        <f t="shared" si="24"/>
        <v>8.491200000000001</v>
      </c>
      <c r="AL13" s="15">
        <f t="shared" si="25"/>
        <v>5.094720000000001</v>
      </c>
      <c r="AM13" s="49">
        <v>1</v>
      </c>
      <c r="AN13" s="16">
        <v>0.95</v>
      </c>
      <c r="AO13" s="49">
        <v>1</v>
      </c>
      <c r="AP13" s="16">
        <v>1</v>
      </c>
      <c r="AQ13" s="16">
        <v>0.95</v>
      </c>
      <c r="AR13" s="16">
        <v>1</v>
      </c>
      <c r="AS13" s="16">
        <v>0.8</v>
      </c>
      <c r="AT13" s="16">
        <v>0.85</v>
      </c>
      <c r="AU13" s="16">
        <v>0.85</v>
      </c>
      <c r="AV13" s="49">
        <v>0.95</v>
      </c>
      <c r="AW13" s="49">
        <v>0.8</v>
      </c>
    </row>
    <row r="14" spans="1:49" s="17" customFormat="1" ht="16.5" customHeight="1">
      <c r="A14" s="87" t="s">
        <v>300</v>
      </c>
      <c r="B14" s="88">
        <v>5621</v>
      </c>
      <c r="C14" s="12">
        <f t="shared" si="4"/>
        <v>4215.75</v>
      </c>
      <c r="D14" s="12">
        <f t="shared" si="5"/>
        <v>4215.75</v>
      </c>
      <c r="E14" s="13">
        <v>12</v>
      </c>
      <c r="F14" s="13">
        <v>6</v>
      </c>
      <c r="G14" s="13">
        <v>6</v>
      </c>
      <c r="H14" s="13">
        <v>9</v>
      </c>
      <c r="I14" s="13">
        <v>12</v>
      </c>
      <c r="J14" s="14">
        <v>0.8</v>
      </c>
      <c r="K14" s="14">
        <v>0.95</v>
      </c>
      <c r="L14" s="14">
        <v>0.9</v>
      </c>
      <c r="M14" s="58">
        <f t="shared" si="6"/>
        <v>256.3176</v>
      </c>
      <c r="N14" s="58">
        <f t="shared" si="7"/>
        <v>28.6671</v>
      </c>
      <c r="O14" s="15">
        <f t="shared" si="8"/>
        <v>17.20026</v>
      </c>
      <c r="P14" s="15">
        <f t="shared" si="9"/>
        <v>230.68584000000004</v>
      </c>
      <c r="Q14" s="15">
        <f t="shared" si="10"/>
        <v>217.86996000000002</v>
      </c>
      <c r="R14" s="87" t="s">
        <v>300</v>
      </c>
      <c r="S14" s="15">
        <f t="shared" si="11"/>
        <v>27.233745</v>
      </c>
      <c r="T14" s="15">
        <f t="shared" si="12"/>
        <v>25.80039</v>
      </c>
      <c r="U14" s="15">
        <f t="shared" si="13"/>
        <v>27.233745</v>
      </c>
      <c r="V14" s="15">
        <f t="shared" si="14"/>
        <v>24.367035</v>
      </c>
      <c r="W14" s="19">
        <f t="shared" si="0"/>
        <v>495.7722</v>
      </c>
      <c r="X14" s="15">
        <f t="shared" si="15"/>
        <v>347.04053999999996</v>
      </c>
      <c r="Y14" s="15">
        <f t="shared" si="16"/>
        <v>347.04053999999996</v>
      </c>
      <c r="Z14" s="19">
        <f t="shared" si="1"/>
        <v>549.50896</v>
      </c>
      <c r="AA14" s="15">
        <f t="shared" si="17"/>
        <v>164.852688</v>
      </c>
      <c r="AB14" s="15">
        <f t="shared" si="18"/>
        <v>57.69844079999999</v>
      </c>
      <c r="AC14" s="12">
        <f t="shared" si="19"/>
        <v>49.4558064</v>
      </c>
      <c r="AD14" s="58">
        <f t="shared" si="2"/>
        <v>283.52324000000004</v>
      </c>
      <c r="AE14" s="15">
        <f t="shared" si="20"/>
        <v>70.88081000000001</v>
      </c>
      <c r="AF14" s="15">
        <f t="shared" si="21"/>
        <v>21.264243000000004</v>
      </c>
      <c r="AG14" s="48">
        <f t="shared" si="22"/>
        <v>14.176162000000003</v>
      </c>
      <c r="AH14" s="87" t="s">
        <v>300</v>
      </c>
      <c r="AI14" s="19">
        <f t="shared" si="3"/>
        <v>44.968</v>
      </c>
      <c r="AJ14" s="15">
        <f t="shared" si="23"/>
        <v>8.9936</v>
      </c>
      <c r="AK14" s="15">
        <f t="shared" si="24"/>
        <v>8.9936</v>
      </c>
      <c r="AL14" s="15">
        <f t="shared" si="25"/>
        <v>5.39616</v>
      </c>
      <c r="AM14" s="49">
        <v>1</v>
      </c>
      <c r="AN14" s="16">
        <v>0.95</v>
      </c>
      <c r="AO14" s="49">
        <v>1</v>
      </c>
      <c r="AP14" s="16">
        <v>1</v>
      </c>
      <c r="AQ14" s="16">
        <v>0.95</v>
      </c>
      <c r="AR14" s="16">
        <v>1</v>
      </c>
      <c r="AS14" s="16">
        <v>0.8</v>
      </c>
      <c r="AT14" s="16">
        <v>0.85</v>
      </c>
      <c r="AU14" s="16">
        <v>0.85</v>
      </c>
      <c r="AV14" s="49">
        <v>0.95</v>
      </c>
      <c r="AW14" s="49">
        <v>0.8</v>
      </c>
    </row>
    <row r="15" spans="1:49" s="17" customFormat="1" ht="16.5" customHeight="1">
      <c r="A15" s="91" t="s">
        <v>301</v>
      </c>
      <c r="B15" s="92">
        <v>7321</v>
      </c>
      <c r="C15" s="12">
        <f t="shared" si="4"/>
        <v>5490.75</v>
      </c>
      <c r="D15" s="12">
        <f t="shared" si="5"/>
        <v>5490.75</v>
      </c>
      <c r="E15" s="13">
        <v>12</v>
      </c>
      <c r="F15" s="13">
        <v>6</v>
      </c>
      <c r="G15" s="13">
        <v>6</v>
      </c>
      <c r="H15" s="13">
        <v>9</v>
      </c>
      <c r="I15" s="13">
        <v>12</v>
      </c>
      <c r="J15" s="14">
        <v>0.8</v>
      </c>
      <c r="K15" s="14">
        <v>0.95</v>
      </c>
      <c r="L15" s="14">
        <v>0.9</v>
      </c>
      <c r="M15" s="58">
        <f t="shared" si="6"/>
        <v>333.8376</v>
      </c>
      <c r="N15" s="58">
        <f t="shared" si="7"/>
        <v>37.3371</v>
      </c>
      <c r="O15" s="15">
        <f t="shared" si="8"/>
        <v>22.40226</v>
      </c>
      <c r="P15" s="15">
        <f t="shared" si="9"/>
        <v>300.45384</v>
      </c>
      <c r="Q15" s="15">
        <f t="shared" si="10"/>
        <v>283.76196</v>
      </c>
      <c r="R15" s="91" t="s">
        <v>301</v>
      </c>
      <c r="S15" s="15">
        <f t="shared" si="11"/>
        <v>35.470245</v>
      </c>
      <c r="T15" s="15">
        <f t="shared" si="12"/>
        <v>33.60339</v>
      </c>
      <c r="U15" s="15">
        <f t="shared" si="13"/>
        <v>35.470245</v>
      </c>
      <c r="V15" s="15">
        <f t="shared" si="14"/>
        <v>31.736535</v>
      </c>
      <c r="W15" s="19">
        <f t="shared" si="0"/>
        <v>645.7122</v>
      </c>
      <c r="X15" s="15">
        <f t="shared" si="15"/>
        <v>451.99854</v>
      </c>
      <c r="Y15" s="15">
        <f t="shared" si="16"/>
        <v>451.99854</v>
      </c>
      <c r="Z15" s="19">
        <f t="shared" si="1"/>
        <v>715.70096</v>
      </c>
      <c r="AA15" s="15">
        <f t="shared" si="17"/>
        <v>214.710288</v>
      </c>
      <c r="AB15" s="15">
        <f t="shared" si="18"/>
        <v>75.1486008</v>
      </c>
      <c r="AC15" s="12">
        <f t="shared" si="19"/>
        <v>64.4130864</v>
      </c>
      <c r="AD15" s="58">
        <f t="shared" si="2"/>
        <v>369.27124000000003</v>
      </c>
      <c r="AE15" s="15">
        <f t="shared" si="20"/>
        <v>92.31781000000001</v>
      </c>
      <c r="AF15" s="15">
        <f t="shared" si="21"/>
        <v>27.695343</v>
      </c>
      <c r="AG15" s="48">
        <f t="shared" si="22"/>
        <v>18.463562000000003</v>
      </c>
      <c r="AH15" s="91" t="s">
        <v>301</v>
      </c>
      <c r="AI15" s="19">
        <f t="shared" si="3"/>
        <v>58.568</v>
      </c>
      <c r="AJ15" s="15">
        <f t="shared" si="23"/>
        <v>11.7136</v>
      </c>
      <c r="AK15" s="15">
        <f t="shared" si="24"/>
        <v>11.7136</v>
      </c>
      <c r="AL15" s="15">
        <f t="shared" si="25"/>
        <v>7.02816</v>
      </c>
      <c r="AM15" s="49">
        <v>1</v>
      </c>
      <c r="AN15" s="16">
        <v>0.95</v>
      </c>
      <c r="AO15" s="49">
        <v>1</v>
      </c>
      <c r="AP15" s="16">
        <v>1</v>
      </c>
      <c r="AQ15" s="16">
        <v>0.95</v>
      </c>
      <c r="AR15" s="16">
        <v>1</v>
      </c>
      <c r="AS15" s="16">
        <v>0.8</v>
      </c>
      <c r="AT15" s="16">
        <v>0.85</v>
      </c>
      <c r="AU15" s="16">
        <v>0.85</v>
      </c>
      <c r="AV15" s="49">
        <v>0.95</v>
      </c>
      <c r="AW15" s="49">
        <v>0.8</v>
      </c>
    </row>
    <row r="16" spans="1:49" s="17" customFormat="1" ht="16.5" customHeight="1">
      <c r="A16" s="85" t="s">
        <v>302</v>
      </c>
      <c r="B16" s="86">
        <v>1608</v>
      </c>
      <c r="C16" s="12">
        <f t="shared" si="4"/>
        <v>1206</v>
      </c>
      <c r="D16" s="12">
        <f t="shared" si="5"/>
        <v>1206</v>
      </c>
      <c r="E16" s="13">
        <v>12</v>
      </c>
      <c r="F16" s="13">
        <v>6</v>
      </c>
      <c r="G16" s="13">
        <v>6</v>
      </c>
      <c r="H16" s="13">
        <v>9</v>
      </c>
      <c r="I16" s="13">
        <v>12</v>
      </c>
      <c r="J16" s="14">
        <v>0.8</v>
      </c>
      <c r="K16" s="14">
        <v>0.95</v>
      </c>
      <c r="L16" s="14">
        <v>0.9</v>
      </c>
      <c r="M16" s="58">
        <f t="shared" si="6"/>
        <v>73.3248</v>
      </c>
      <c r="N16" s="58">
        <f t="shared" si="7"/>
        <v>8.200800000000001</v>
      </c>
      <c r="O16" s="15">
        <f t="shared" si="8"/>
        <v>4.92048</v>
      </c>
      <c r="P16" s="15">
        <f t="shared" si="9"/>
        <v>65.99231999999999</v>
      </c>
      <c r="Q16" s="15">
        <f t="shared" si="10"/>
        <v>62.32608</v>
      </c>
      <c r="R16" s="85" t="s">
        <v>302</v>
      </c>
      <c r="S16" s="15">
        <f t="shared" si="11"/>
        <v>7.790760000000001</v>
      </c>
      <c r="T16" s="15">
        <f t="shared" si="12"/>
        <v>7.380720000000001</v>
      </c>
      <c r="U16" s="15">
        <f t="shared" si="13"/>
        <v>7.790760000000001</v>
      </c>
      <c r="V16" s="15">
        <f t="shared" si="14"/>
        <v>6.970680000000001</v>
      </c>
      <c r="W16" s="19">
        <f t="shared" si="0"/>
        <v>141.8256</v>
      </c>
      <c r="X16" s="15">
        <f t="shared" si="15"/>
        <v>99.27792</v>
      </c>
      <c r="Y16" s="15">
        <f t="shared" si="16"/>
        <v>99.27792</v>
      </c>
      <c r="Z16" s="19">
        <f t="shared" si="1"/>
        <v>157.19808</v>
      </c>
      <c r="AA16" s="15">
        <f t="shared" si="17"/>
        <v>47.159424</v>
      </c>
      <c r="AB16" s="15">
        <f t="shared" si="18"/>
        <v>16.5057984</v>
      </c>
      <c r="AC16" s="12">
        <f t="shared" si="19"/>
        <v>14.1478272</v>
      </c>
      <c r="AD16" s="58">
        <f t="shared" si="2"/>
        <v>81.10752000000001</v>
      </c>
      <c r="AE16" s="15">
        <f t="shared" si="20"/>
        <v>20.276880000000002</v>
      </c>
      <c r="AF16" s="15">
        <f t="shared" si="21"/>
        <v>6.083064</v>
      </c>
      <c r="AG16" s="48">
        <f t="shared" si="22"/>
        <v>4.055376000000001</v>
      </c>
      <c r="AH16" s="85" t="s">
        <v>302</v>
      </c>
      <c r="AI16" s="19">
        <f t="shared" si="3"/>
        <v>12.864</v>
      </c>
      <c r="AJ16" s="15">
        <f t="shared" si="23"/>
        <v>2.5728000000000004</v>
      </c>
      <c r="AK16" s="15">
        <f t="shared" si="24"/>
        <v>2.5728000000000004</v>
      </c>
      <c r="AL16" s="15">
        <f t="shared" si="25"/>
        <v>1.5436800000000002</v>
      </c>
      <c r="AM16" s="49">
        <v>1</v>
      </c>
      <c r="AN16" s="16">
        <v>0.95</v>
      </c>
      <c r="AO16" s="49">
        <v>1</v>
      </c>
      <c r="AP16" s="16">
        <v>1</v>
      </c>
      <c r="AQ16" s="16">
        <v>0.95</v>
      </c>
      <c r="AR16" s="16">
        <v>1</v>
      </c>
      <c r="AS16" s="16">
        <v>0.8</v>
      </c>
      <c r="AT16" s="16">
        <v>0.85</v>
      </c>
      <c r="AU16" s="16">
        <v>0.85</v>
      </c>
      <c r="AV16" s="49">
        <v>0.95</v>
      </c>
      <c r="AW16" s="49">
        <v>0.8</v>
      </c>
    </row>
    <row r="17" spans="1:49" s="17" customFormat="1" ht="16.5" customHeight="1">
      <c r="A17" s="85" t="s">
        <v>303</v>
      </c>
      <c r="B17" s="86">
        <v>2739</v>
      </c>
      <c r="C17" s="12">
        <f t="shared" si="4"/>
        <v>2054.25</v>
      </c>
      <c r="D17" s="12">
        <f t="shared" si="5"/>
        <v>2054.25</v>
      </c>
      <c r="E17" s="13">
        <v>12</v>
      </c>
      <c r="F17" s="13">
        <v>6</v>
      </c>
      <c r="G17" s="13">
        <v>6</v>
      </c>
      <c r="H17" s="13">
        <v>9</v>
      </c>
      <c r="I17" s="13">
        <v>12</v>
      </c>
      <c r="J17" s="14">
        <v>0.8</v>
      </c>
      <c r="K17" s="14">
        <v>0.95</v>
      </c>
      <c r="L17" s="14">
        <v>0.9</v>
      </c>
      <c r="M17" s="58">
        <f t="shared" si="6"/>
        <v>124.89840000000001</v>
      </c>
      <c r="N17" s="58">
        <f t="shared" si="7"/>
        <v>13.968900000000001</v>
      </c>
      <c r="O17" s="15">
        <f t="shared" si="8"/>
        <v>8.38134</v>
      </c>
      <c r="P17" s="15">
        <f t="shared" si="9"/>
        <v>112.40856000000001</v>
      </c>
      <c r="Q17" s="15">
        <f t="shared" si="10"/>
        <v>106.16364</v>
      </c>
      <c r="R17" s="85" t="s">
        <v>303</v>
      </c>
      <c r="S17" s="15">
        <f t="shared" si="11"/>
        <v>13.270455</v>
      </c>
      <c r="T17" s="15">
        <f t="shared" si="12"/>
        <v>12.572010000000002</v>
      </c>
      <c r="U17" s="15">
        <f t="shared" si="13"/>
        <v>13.270455</v>
      </c>
      <c r="V17" s="15">
        <f t="shared" si="14"/>
        <v>11.873565000000001</v>
      </c>
      <c r="W17" s="19">
        <f t="shared" si="0"/>
        <v>241.5798</v>
      </c>
      <c r="X17" s="15">
        <f t="shared" si="15"/>
        <v>169.10586</v>
      </c>
      <c r="Y17" s="15">
        <f t="shared" si="16"/>
        <v>169.10586</v>
      </c>
      <c r="Z17" s="19">
        <f t="shared" si="1"/>
        <v>267.76464</v>
      </c>
      <c r="AA17" s="15">
        <f t="shared" si="17"/>
        <v>80.329392</v>
      </c>
      <c r="AB17" s="15">
        <f t="shared" si="18"/>
        <v>28.115287199999997</v>
      </c>
      <c r="AC17" s="12">
        <f t="shared" si="19"/>
        <v>24.0988176</v>
      </c>
      <c r="AD17" s="58">
        <f t="shared" si="2"/>
        <v>138.15516</v>
      </c>
      <c r="AE17" s="15">
        <f t="shared" si="20"/>
        <v>34.53879</v>
      </c>
      <c r="AF17" s="15">
        <f t="shared" si="21"/>
        <v>10.361637</v>
      </c>
      <c r="AG17" s="48">
        <f t="shared" si="22"/>
        <v>6.907758</v>
      </c>
      <c r="AH17" s="85" t="s">
        <v>303</v>
      </c>
      <c r="AI17" s="19">
        <f t="shared" si="3"/>
        <v>21.912</v>
      </c>
      <c r="AJ17" s="15">
        <f t="shared" si="23"/>
        <v>4.3824</v>
      </c>
      <c r="AK17" s="15">
        <f t="shared" si="24"/>
        <v>4.3824</v>
      </c>
      <c r="AL17" s="15">
        <f t="shared" si="25"/>
        <v>2.6294399999999998</v>
      </c>
      <c r="AM17" s="49">
        <v>1</v>
      </c>
      <c r="AN17" s="16">
        <v>0.95</v>
      </c>
      <c r="AO17" s="49">
        <v>1</v>
      </c>
      <c r="AP17" s="16">
        <v>1</v>
      </c>
      <c r="AQ17" s="16">
        <v>0.95</v>
      </c>
      <c r="AR17" s="16">
        <v>1</v>
      </c>
      <c r="AS17" s="16">
        <v>0.8</v>
      </c>
      <c r="AT17" s="16">
        <v>0.85</v>
      </c>
      <c r="AU17" s="16">
        <v>0.85</v>
      </c>
      <c r="AV17" s="49">
        <v>0.95</v>
      </c>
      <c r="AW17" s="49">
        <v>0.8</v>
      </c>
    </row>
    <row r="18" spans="1:49" s="17" customFormat="1" ht="16.5" customHeight="1">
      <c r="A18" s="85" t="s">
        <v>304</v>
      </c>
      <c r="B18" s="86">
        <v>2286</v>
      </c>
      <c r="C18" s="12">
        <f t="shared" si="4"/>
        <v>1714.5</v>
      </c>
      <c r="D18" s="12">
        <f t="shared" si="5"/>
        <v>1714.5</v>
      </c>
      <c r="E18" s="13">
        <v>12</v>
      </c>
      <c r="F18" s="13">
        <v>6</v>
      </c>
      <c r="G18" s="13">
        <v>6</v>
      </c>
      <c r="H18" s="13">
        <v>9</v>
      </c>
      <c r="I18" s="13">
        <v>12</v>
      </c>
      <c r="J18" s="14">
        <v>0.8</v>
      </c>
      <c r="K18" s="14">
        <v>0.95</v>
      </c>
      <c r="L18" s="14">
        <v>0.9</v>
      </c>
      <c r="M18" s="58">
        <f t="shared" si="6"/>
        <v>104.2416</v>
      </c>
      <c r="N18" s="58">
        <f t="shared" si="7"/>
        <v>11.658600000000002</v>
      </c>
      <c r="O18" s="15">
        <f t="shared" si="8"/>
        <v>6.995160000000001</v>
      </c>
      <c r="P18" s="15">
        <f t="shared" si="9"/>
        <v>93.81744</v>
      </c>
      <c r="Q18" s="15">
        <f t="shared" si="10"/>
        <v>88.60536</v>
      </c>
      <c r="R18" s="85" t="s">
        <v>304</v>
      </c>
      <c r="S18" s="15">
        <f t="shared" si="11"/>
        <v>11.07567</v>
      </c>
      <c r="T18" s="15">
        <f t="shared" si="12"/>
        <v>10.492740000000001</v>
      </c>
      <c r="U18" s="15">
        <f t="shared" si="13"/>
        <v>11.07567</v>
      </c>
      <c r="V18" s="15">
        <f t="shared" si="14"/>
        <v>9.909810000000002</v>
      </c>
      <c r="W18" s="19">
        <f t="shared" si="0"/>
        <v>201.6252</v>
      </c>
      <c r="X18" s="15">
        <f t="shared" si="15"/>
        <v>141.13764</v>
      </c>
      <c r="Y18" s="15">
        <f t="shared" si="16"/>
        <v>141.13764</v>
      </c>
      <c r="Z18" s="19">
        <f t="shared" si="1"/>
        <v>223.47936</v>
      </c>
      <c r="AA18" s="15">
        <f t="shared" si="17"/>
        <v>67.043808</v>
      </c>
      <c r="AB18" s="15">
        <f t="shared" si="18"/>
        <v>23.4653328</v>
      </c>
      <c r="AC18" s="12">
        <f t="shared" si="19"/>
        <v>20.113142399999997</v>
      </c>
      <c r="AD18" s="58">
        <f t="shared" si="2"/>
        <v>115.30584</v>
      </c>
      <c r="AE18" s="15">
        <f t="shared" si="20"/>
        <v>28.82646</v>
      </c>
      <c r="AF18" s="15">
        <f t="shared" si="21"/>
        <v>8.647938</v>
      </c>
      <c r="AG18" s="48">
        <f t="shared" si="22"/>
        <v>5.7652920000000005</v>
      </c>
      <c r="AH18" s="85" t="s">
        <v>304</v>
      </c>
      <c r="AI18" s="19">
        <f t="shared" si="3"/>
        <v>18.288</v>
      </c>
      <c r="AJ18" s="15">
        <f t="shared" si="23"/>
        <v>3.6576000000000004</v>
      </c>
      <c r="AK18" s="15">
        <f t="shared" si="24"/>
        <v>3.6576000000000004</v>
      </c>
      <c r="AL18" s="15">
        <f t="shared" si="25"/>
        <v>2.19456</v>
      </c>
      <c r="AM18" s="49">
        <v>1</v>
      </c>
      <c r="AN18" s="16">
        <v>0.95</v>
      </c>
      <c r="AO18" s="49">
        <v>1</v>
      </c>
      <c r="AP18" s="16">
        <v>1</v>
      </c>
      <c r="AQ18" s="16">
        <v>0.95</v>
      </c>
      <c r="AR18" s="16">
        <v>1</v>
      </c>
      <c r="AS18" s="16">
        <v>0.8</v>
      </c>
      <c r="AT18" s="16">
        <v>0.85</v>
      </c>
      <c r="AU18" s="16">
        <v>0.85</v>
      </c>
      <c r="AV18" s="49">
        <v>0.95</v>
      </c>
      <c r="AW18" s="49">
        <v>0.8</v>
      </c>
    </row>
    <row r="19" spans="1:49" s="17" customFormat="1" ht="16.5" customHeight="1">
      <c r="A19" s="85" t="s">
        <v>305</v>
      </c>
      <c r="B19" s="86">
        <v>1391</v>
      </c>
      <c r="C19" s="12">
        <f t="shared" si="4"/>
        <v>1043.25</v>
      </c>
      <c r="D19" s="12">
        <f t="shared" si="5"/>
        <v>1043.25</v>
      </c>
      <c r="E19" s="13">
        <v>12</v>
      </c>
      <c r="F19" s="13">
        <v>6</v>
      </c>
      <c r="G19" s="13">
        <v>6</v>
      </c>
      <c r="H19" s="13">
        <v>9</v>
      </c>
      <c r="I19" s="13">
        <v>12</v>
      </c>
      <c r="J19" s="14">
        <v>0.8</v>
      </c>
      <c r="K19" s="14">
        <v>0.95</v>
      </c>
      <c r="L19" s="14">
        <v>0.9</v>
      </c>
      <c r="M19" s="58">
        <f t="shared" si="6"/>
        <v>63.4296</v>
      </c>
      <c r="N19" s="58">
        <f t="shared" si="7"/>
        <v>7.0941</v>
      </c>
      <c r="O19" s="15">
        <f t="shared" si="8"/>
        <v>4.25646</v>
      </c>
      <c r="P19" s="15">
        <f t="shared" si="9"/>
        <v>57.08664</v>
      </c>
      <c r="Q19" s="15">
        <f t="shared" si="10"/>
        <v>53.91516</v>
      </c>
      <c r="R19" s="85" t="s">
        <v>305</v>
      </c>
      <c r="S19" s="15">
        <f t="shared" si="11"/>
        <v>6.739395</v>
      </c>
      <c r="T19" s="15">
        <f t="shared" si="12"/>
        <v>6.38469</v>
      </c>
      <c r="U19" s="15">
        <f t="shared" si="13"/>
        <v>6.739395</v>
      </c>
      <c r="V19" s="15">
        <f t="shared" si="14"/>
        <v>6.029985</v>
      </c>
      <c r="W19" s="19">
        <f t="shared" si="0"/>
        <v>122.6862</v>
      </c>
      <c r="X19" s="15">
        <f t="shared" si="15"/>
        <v>85.88033999999999</v>
      </c>
      <c r="Y19" s="15">
        <f t="shared" si="16"/>
        <v>85.88033999999999</v>
      </c>
      <c r="Z19" s="19">
        <f t="shared" si="1"/>
        <v>135.98416</v>
      </c>
      <c r="AA19" s="15">
        <f t="shared" si="17"/>
        <v>40.795248</v>
      </c>
      <c r="AB19" s="15">
        <f t="shared" si="18"/>
        <v>14.2783368</v>
      </c>
      <c r="AC19" s="12">
        <f t="shared" si="19"/>
        <v>12.2385744</v>
      </c>
      <c r="AD19" s="58">
        <f t="shared" si="2"/>
        <v>70.16204</v>
      </c>
      <c r="AE19" s="15">
        <f t="shared" si="20"/>
        <v>17.54051</v>
      </c>
      <c r="AF19" s="15">
        <f t="shared" si="21"/>
        <v>5.2621530000000005</v>
      </c>
      <c r="AG19" s="48">
        <f t="shared" si="22"/>
        <v>3.5081020000000005</v>
      </c>
      <c r="AH19" s="85" t="s">
        <v>305</v>
      </c>
      <c r="AI19" s="19">
        <f t="shared" si="3"/>
        <v>11.128</v>
      </c>
      <c r="AJ19" s="15">
        <f t="shared" si="23"/>
        <v>2.2256</v>
      </c>
      <c r="AK19" s="15">
        <f t="shared" si="24"/>
        <v>2.2256</v>
      </c>
      <c r="AL19" s="15">
        <f t="shared" si="25"/>
        <v>1.3353599999999999</v>
      </c>
      <c r="AM19" s="49">
        <v>1</v>
      </c>
      <c r="AN19" s="16">
        <v>0.95</v>
      </c>
      <c r="AO19" s="49">
        <v>1</v>
      </c>
      <c r="AP19" s="16">
        <v>1</v>
      </c>
      <c r="AQ19" s="16">
        <v>0.95</v>
      </c>
      <c r="AR19" s="16">
        <v>1</v>
      </c>
      <c r="AS19" s="16">
        <v>0.8</v>
      </c>
      <c r="AT19" s="16">
        <v>0.85</v>
      </c>
      <c r="AU19" s="16">
        <v>0.85</v>
      </c>
      <c r="AV19" s="49">
        <v>0.95</v>
      </c>
      <c r="AW19" s="49">
        <v>0.8</v>
      </c>
    </row>
    <row r="20" spans="1:49" s="17" customFormat="1" ht="16.5" customHeight="1">
      <c r="A20" s="85" t="s">
        <v>306</v>
      </c>
      <c r="B20" s="86">
        <v>1390</v>
      </c>
      <c r="C20" s="12">
        <f t="shared" si="4"/>
        <v>1042.5</v>
      </c>
      <c r="D20" s="12">
        <f t="shared" si="5"/>
        <v>1042.5</v>
      </c>
      <c r="E20" s="13">
        <v>12</v>
      </c>
      <c r="F20" s="13">
        <v>6</v>
      </c>
      <c r="G20" s="13">
        <v>6</v>
      </c>
      <c r="H20" s="13">
        <v>9</v>
      </c>
      <c r="I20" s="13">
        <v>12</v>
      </c>
      <c r="J20" s="14">
        <v>0.8</v>
      </c>
      <c r="K20" s="14">
        <v>0.95</v>
      </c>
      <c r="L20" s="14">
        <v>0.9</v>
      </c>
      <c r="M20" s="58">
        <f t="shared" si="6"/>
        <v>63.384</v>
      </c>
      <c r="N20" s="58">
        <f t="shared" si="7"/>
        <v>7.089</v>
      </c>
      <c r="O20" s="15">
        <f t="shared" si="8"/>
        <v>4.2534</v>
      </c>
      <c r="P20" s="15">
        <f t="shared" si="9"/>
        <v>57.0456</v>
      </c>
      <c r="Q20" s="15">
        <f t="shared" si="10"/>
        <v>53.8764</v>
      </c>
      <c r="R20" s="85" t="s">
        <v>306</v>
      </c>
      <c r="S20" s="15">
        <f t="shared" si="11"/>
        <v>6.7345500000000005</v>
      </c>
      <c r="T20" s="15">
        <f t="shared" si="12"/>
        <v>6.3801000000000005</v>
      </c>
      <c r="U20" s="15">
        <f t="shared" si="13"/>
        <v>6.7345500000000005</v>
      </c>
      <c r="V20" s="15">
        <f t="shared" si="14"/>
        <v>6.025650000000001</v>
      </c>
      <c r="W20" s="19">
        <f t="shared" si="0"/>
        <v>122.598</v>
      </c>
      <c r="X20" s="15">
        <f t="shared" si="15"/>
        <v>85.81859999999999</v>
      </c>
      <c r="Y20" s="15">
        <f t="shared" si="16"/>
        <v>85.81859999999999</v>
      </c>
      <c r="Z20" s="19">
        <f t="shared" si="1"/>
        <v>135.8864</v>
      </c>
      <c r="AA20" s="15">
        <f t="shared" si="17"/>
        <v>40.76592</v>
      </c>
      <c r="AB20" s="15">
        <f t="shared" si="18"/>
        <v>14.268072</v>
      </c>
      <c r="AC20" s="12">
        <f t="shared" si="19"/>
        <v>12.229776</v>
      </c>
      <c r="AD20" s="58">
        <f t="shared" si="2"/>
        <v>70.11160000000001</v>
      </c>
      <c r="AE20" s="15">
        <f t="shared" si="20"/>
        <v>17.527900000000002</v>
      </c>
      <c r="AF20" s="15">
        <f t="shared" si="21"/>
        <v>5.25837</v>
      </c>
      <c r="AG20" s="48">
        <f t="shared" si="22"/>
        <v>3.5055800000000006</v>
      </c>
      <c r="AH20" s="85" t="s">
        <v>306</v>
      </c>
      <c r="AI20" s="19">
        <f t="shared" si="3"/>
        <v>11.12</v>
      </c>
      <c r="AJ20" s="15">
        <f t="shared" si="23"/>
        <v>2.2239999999999998</v>
      </c>
      <c r="AK20" s="15">
        <f t="shared" si="24"/>
        <v>2.2239999999999998</v>
      </c>
      <c r="AL20" s="15">
        <f t="shared" si="25"/>
        <v>1.3343999999999998</v>
      </c>
      <c r="AM20" s="49">
        <v>1</v>
      </c>
      <c r="AN20" s="16">
        <v>0.95</v>
      </c>
      <c r="AO20" s="49">
        <v>1</v>
      </c>
      <c r="AP20" s="16">
        <v>1</v>
      </c>
      <c r="AQ20" s="16">
        <v>0.95</v>
      </c>
      <c r="AR20" s="16">
        <v>1</v>
      </c>
      <c r="AS20" s="16">
        <v>0.8</v>
      </c>
      <c r="AT20" s="16">
        <v>0.85</v>
      </c>
      <c r="AU20" s="16">
        <v>0.85</v>
      </c>
      <c r="AV20" s="49">
        <v>0.95</v>
      </c>
      <c r="AW20" s="49">
        <v>0.8</v>
      </c>
    </row>
    <row r="21" spans="1:49" s="17" customFormat="1" ht="16.5" customHeight="1">
      <c r="A21" s="85" t="s">
        <v>307</v>
      </c>
      <c r="B21" s="86">
        <v>921</v>
      </c>
      <c r="C21" s="12">
        <f t="shared" si="4"/>
        <v>690.75</v>
      </c>
      <c r="D21" s="12">
        <f t="shared" si="5"/>
        <v>690.75</v>
      </c>
      <c r="E21" s="13">
        <v>12</v>
      </c>
      <c r="F21" s="13">
        <v>6</v>
      </c>
      <c r="G21" s="13">
        <v>6</v>
      </c>
      <c r="H21" s="13">
        <v>9</v>
      </c>
      <c r="I21" s="13">
        <v>12</v>
      </c>
      <c r="J21" s="14">
        <v>0.8</v>
      </c>
      <c r="K21" s="14">
        <v>0.95</v>
      </c>
      <c r="L21" s="14">
        <v>0.9</v>
      </c>
      <c r="M21" s="58">
        <f t="shared" si="6"/>
        <v>41.9976</v>
      </c>
      <c r="N21" s="58">
        <f t="shared" si="7"/>
        <v>4.697100000000001</v>
      </c>
      <c r="O21" s="15">
        <f t="shared" si="8"/>
        <v>2.8182600000000004</v>
      </c>
      <c r="P21" s="15">
        <f t="shared" si="9"/>
        <v>37.79784</v>
      </c>
      <c r="Q21" s="15">
        <f t="shared" si="10"/>
        <v>35.697959999999995</v>
      </c>
      <c r="R21" s="85" t="s">
        <v>307</v>
      </c>
      <c r="S21" s="15">
        <f t="shared" si="11"/>
        <v>4.462245</v>
      </c>
      <c r="T21" s="15">
        <f t="shared" si="12"/>
        <v>4.227390000000001</v>
      </c>
      <c r="U21" s="15">
        <f t="shared" si="13"/>
        <v>4.462245</v>
      </c>
      <c r="V21" s="15">
        <f t="shared" si="14"/>
        <v>3.9925350000000006</v>
      </c>
      <c r="W21" s="19">
        <f t="shared" si="0"/>
        <v>81.2322</v>
      </c>
      <c r="X21" s="15">
        <f t="shared" si="15"/>
        <v>56.86254</v>
      </c>
      <c r="Y21" s="15">
        <f t="shared" si="16"/>
        <v>56.86254</v>
      </c>
      <c r="Z21" s="19">
        <f t="shared" si="1"/>
        <v>90.03696000000001</v>
      </c>
      <c r="AA21" s="15">
        <f t="shared" si="17"/>
        <v>27.011088</v>
      </c>
      <c r="AB21" s="15">
        <f t="shared" si="18"/>
        <v>9.4538808</v>
      </c>
      <c r="AC21" s="12">
        <f t="shared" si="19"/>
        <v>8.1033264</v>
      </c>
      <c r="AD21" s="58">
        <f t="shared" si="2"/>
        <v>46.45524</v>
      </c>
      <c r="AE21" s="15">
        <f t="shared" si="20"/>
        <v>11.61381</v>
      </c>
      <c r="AF21" s="15">
        <f t="shared" si="21"/>
        <v>3.484143</v>
      </c>
      <c r="AG21" s="48">
        <f t="shared" si="22"/>
        <v>2.3227620000000004</v>
      </c>
      <c r="AH21" s="85" t="s">
        <v>307</v>
      </c>
      <c r="AI21" s="19">
        <f t="shared" si="3"/>
        <v>7.368</v>
      </c>
      <c r="AJ21" s="15">
        <f t="shared" si="23"/>
        <v>1.4736000000000002</v>
      </c>
      <c r="AK21" s="15">
        <f t="shared" si="24"/>
        <v>1.4736000000000002</v>
      </c>
      <c r="AL21" s="15">
        <f t="shared" si="25"/>
        <v>0.8841600000000002</v>
      </c>
      <c r="AM21" s="49">
        <v>1</v>
      </c>
      <c r="AN21" s="16">
        <v>0.95</v>
      </c>
      <c r="AO21" s="49">
        <v>1</v>
      </c>
      <c r="AP21" s="16">
        <v>1</v>
      </c>
      <c r="AQ21" s="16">
        <v>0.95</v>
      </c>
      <c r="AR21" s="16">
        <v>1</v>
      </c>
      <c r="AS21" s="16">
        <v>0.8</v>
      </c>
      <c r="AT21" s="16">
        <v>0.85</v>
      </c>
      <c r="AU21" s="16">
        <v>0.85</v>
      </c>
      <c r="AV21" s="49">
        <v>0.95</v>
      </c>
      <c r="AW21" s="49">
        <v>0.8</v>
      </c>
    </row>
    <row r="22" spans="1:49" s="17" customFormat="1" ht="16.5" customHeight="1">
      <c r="A22" s="85" t="s">
        <v>308</v>
      </c>
      <c r="B22" s="86">
        <v>1500</v>
      </c>
      <c r="C22" s="12">
        <f t="shared" si="4"/>
        <v>1125</v>
      </c>
      <c r="D22" s="12">
        <f t="shared" si="5"/>
        <v>1125</v>
      </c>
      <c r="E22" s="13">
        <v>12</v>
      </c>
      <c r="F22" s="13">
        <v>6</v>
      </c>
      <c r="G22" s="13">
        <v>6</v>
      </c>
      <c r="H22" s="13">
        <v>9</v>
      </c>
      <c r="I22" s="13">
        <v>12</v>
      </c>
      <c r="J22" s="14">
        <v>0.8</v>
      </c>
      <c r="K22" s="14">
        <v>0.95</v>
      </c>
      <c r="L22" s="14">
        <v>0.9</v>
      </c>
      <c r="M22" s="58">
        <f t="shared" si="6"/>
        <v>68.4</v>
      </c>
      <c r="N22" s="58">
        <f t="shared" si="7"/>
        <v>7.65</v>
      </c>
      <c r="O22" s="15">
        <f t="shared" si="8"/>
        <v>4.59</v>
      </c>
      <c r="P22" s="15">
        <f t="shared" si="9"/>
        <v>61.56000000000001</v>
      </c>
      <c r="Q22" s="15">
        <f t="shared" si="10"/>
        <v>58.14</v>
      </c>
      <c r="R22" s="85" t="s">
        <v>308</v>
      </c>
      <c r="S22" s="15">
        <f t="shared" si="11"/>
        <v>7.2675</v>
      </c>
      <c r="T22" s="15">
        <f t="shared" si="12"/>
        <v>6.885000000000001</v>
      </c>
      <c r="U22" s="15">
        <f t="shared" si="13"/>
        <v>7.2675</v>
      </c>
      <c r="V22" s="15">
        <f t="shared" si="14"/>
        <v>6.5025</v>
      </c>
      <c r="W22" s="19">
        <f t="shared" si="0"/>
        <v>132.3</v>
      </c>
      <c r="X22" s="15">
        <f t="shared" si="15"/>
        <v>92.61</v>
      </c>
      <c r="Y22" s="15">
        <f t="shared" si="16"/>
        <v>92.61</v>
      </c>
      <c r="Z22" s="19">
        <f t="shared" si="1"/>
        <v>146.64</v>
      </c>
      <c r="AA22" s="15">
        <f t="shared" si="17"/>
        <v>43.992</v>
      </c>
      <c r="AB22" s="15">
        <f t="shared" si="18"/>
        <v>15.397199999999998</v>
      </c>
      <c r="AC22" s="12">
        <f t="shared" si="19"/>
        <v>13.1976</v>
      </c>
      <c r="AD22" s="58">
        <f t="shared" si="2"/>
        <v>75.66</v>
      </c>
      <c r="AE22" s="15">
        <f t="shared" si="20"/>
        <v>18.915</v>
      </c>
      <c r="AF22" s="15">
        <f t="shared" si="21"/>
        <v>5.674499999999999</v>
      </c>
      <c r="AG22" s="48">
        <f t="shared" si="22"/>
        <v>3.783</v>
      </c>
      <c r="AH22" s="85" t="s">
        <v>308</v>
      </c>
      <c r="AI22" s="19">
        <f t="shared" si="3"/>
        <v>12</v>
      </c>
      <c r="AJ22" s="15">
        <f t="shared" si="23"/>
        <v>2.4000000000000004</v>
      </c>
      <c r="AK22" s="15">
        <f t="shared" si="24"/>
        <v>2.4000000000000004</v>
      </c>
      <c r="AL22" s="15">
        <f t="shared" si="25"/>
        <v>1.4400000000000002</v>
      </c>
      <c r="AM22" s="49">
        <v>1</v>
      </c>
      <c r="AN22" s="16">
        <v>0.95</v>
      </c>
      <c r="AO22" s="49">
        <v>1</v>
      </c>
      <c r="AP22" s="16">
        <v>1</v>
      </c>
      <c r="AQ22" s="16">
        <v>0.95</v>
      </c>
      <c r="AR22" s="16">
        <v>1</v>
      </c>
      <c r="AS22" s="16">
        <v>0.8</v>
      </c>
      <c r="AT22" s="16">
        <v>0.85</v>
      </c>
      <c r="AU22" s="16">
        <v>0.85</v>
      </c>
      <c r="AV22" s="49">
        <v>0.95</v>
      </c>
      <c r="AW22" s="49">
        <v>0.8</v>
      </c>
    </row>
    <row r="23" spans="1:49" s="17" customFormat="1" ht="16.5" customHeight="1">
      <c r="A23" s="85" t="s">
        <v>309</v>
      </c>
      <c r="B23" s="86">
        <v>1492</v>
      </c>
      <c r="C23" s="12">
        <f t="shared" si="4"/>
        <v>1119</v>
      </c>
      <c r="D23" s="12">
        <f t="shared" si="5"/>
        <v>1119</v>
      </c>
      <c r="E23" s="13">
        <v>12</v>
      </c>
      <c r="F23" s="13">
        <v>6</v>
      </c>
      <c r="G23" s="13">
        <v>6</v>
      </c>
      <c r="H23" s="13">
        <v>9</v>
      </c>
      <c r="I23" s="13">
        <v>12</v>
      </c>
      <c r="J23" s="14">
        <v>0.8</v>
      </c>
      <c r="K23" s="14">
        <v>0.95</v>
      </c>
      <c r="L23" s="14">
        <v>0.9</v>
      </c>
      <c r="M23" s="58">
        <f t="shared" si="6"/>
        <v>68.0352</v>
      </c>
      <c r="N23" s="58">
        <f t="shared" si="7"/>
        <v>7.6092</v>
      </c>
      <c r="O23" s="15">
        <f t="shared" si="8"/>
        <v>4.56552</v>
      </c>
      <c r="P23" s="15">
        <f t="shared" si="9"/>
        <v>61.231680000000004</v>
      </c>
      <c r="Q23" s="15">
        <f t="shared" si="10"/>
        <v>57.82992</v>
      </c>
      <c r="R23" s="85" t="s">
        <v>309</v>
      </c>
      <c r="S23" s="15">
        <f t="shared" si="11"/>
        <v>7.22874</v>
      </c>
      <c r="T23" s="15">
        <f t="shared" si="12"/>
        <v>6.848280000000001</v>
      </c>
      <c r="U23" s="15">
        <f t="shared" si="13"/>
        <v>7.22874</v>
      </c>
      <c r="V23" s="15">
        <f t="shared" si="14"/>
        <v>6.467820000000001</v>
      </c>
      <c r="W23" s="19">
        <f t="shared" si="0"/>
        <v>131.5944</v>
      </c>
      <c r="X23" s="15">
        <f t="shared" si="15"/>
        <v>92.11608</v>
      </c>
      <c r="Y23" s="15">
        <f t="shared" si="16"/>
        <v>92.11608</v>
      </c>
      <c r="Z23" s="19">
        <f t="shared" si="1"/>
        <v>145.85792</v>
      </c>
      <c r="AA23" s="15">
        <f t="shared" si="17"/>
        <v>43.757376</v>
      </c>
      <c r="AB23" s="15">
        <f t="shared" si="18"/>
        <v>15.3150816</v>
      </c>
      <c r="AC23" s="12">
        <f t="shared" si="19"/>
        <v>13.1272128</v>
      </c>
      <c r="AD23" s="58">
        <f t="shared" si="2"/>
        <v>75.25648000000001</v>
      </c>
      <c r="AE23" s="15">
        <f t="shared" si="20"/>
        <v>18.814120000000003</v>
      </c>
      <c r="AF23" s="15">
        <f t="shared" si="21"/>
        <v>5.644236</v>
      </c>
      <c r="AG23" s="48">
        <f t="shared" si="22"/>
        <v>3.7628240000000006</v>
      </c>
      <c r="AH23" s="85" t="s">
        <v>309</v>
      </c>
      <c r="AI23" s="19">
        <f t="shared" si="3"/>
        <v>11.936</v>
      </c>
      <c r="AJ23" s="15">
        <f t="shared" si="23"/>
        <v>2.3872</v>
      </c>
      <c r="AK23" s="15">
        <f t="shared" si="24"/>
        <v>2.3872</v>
      </c>
      <c r="AL23" s="15">
        <f t="shared" si="25"/>
        <v>1.43232</v>
      </c>
      <c r="AM23" s="49">
        <v>1</v>
      </c>
      <c r="AN23" s="16">
        <v>0.95</v>
      </c>
      <c r="AO23" s="49">
        <v>1</v>
      </c>
      <c r="AP23" s="16">
        <v>1</v>
      </c>
      <c r="AQ23" s="16">
        <v>0.95</v>
      </c>
      <c r="AR23" s="16">
        <v>1</v>
      </c>
      <c r="AS23" s="16">
        <v>0.8</v>
      </c>
      <c r="AT23" s="16">
        <v>0.85</v>
      </c>
      <c r="AU23" s="16">
        <v>0.85</v>
      </c>
      <c r="AV23" s="49">
        <v>0.95</v>
      </c>
      <c r="AW23" s="49">
        <v>0.8</v>
      </c>
    </row>
    <row r="24" spans="1:49" s="17" customFormat="1" ht="16.5" customHeight="1">
      <c r="A24" s="85" t="s">
        <v>310</v>
      </c>
      <c r="B24" s="86">
        <v>2474</v>
      </c>
      <c r="C24" s="12">
        <f t="shared" si="4"/>
        <v>1855.5</v>
      </c>
      <c r="D24" s="12">
        <f t="shared" si="5"/>
        <v>1855.5</v>
      </c>
      <c r="E24" s="13">
        <v>12</v>
      </c>
      <c r="F24" s="13">
        <v>6</v>
      </c>
      <c r="G24" s="13">
        <v>6</v>
      </c>
      <c r="H24" s="13">
        <v>9</v>
      </c>
      <c r="I24" s="13">
        <v>12</v>
      </c>
      <c r="J24" s="14">
        <v>0.8</v>
      </c>
      <c r="K24" s="14">
        <v>0.95</v>
      </c>
      <c r="L24" s="14">
        <v>0.9</v>
      </c>
      <c r="M24" s="58">
        <f t="shared" si="6"/>
        <v>112.8144</v>
      </c>
      <c r="N24" s="58">
        <f t="shared" si="7"/>
        <v>12.617400000000002</v>
      </c>
      <c r="O24" s="15">
        <f t="shared" si="8"/>
        <v>7.5704400000000005</v>
      </c>
      <c r="P24" s="15">
        <f t="shared" si="9"/>
        <v>101.53296</v>
      </c>
      <c r="Q24" s="15">
        <f t="shared" si="10"/>
        <v>95.89224</v>
      </c>
      <c r="R24" s="85" t="s">
        <v>310</v>
      </c>
      <c r="S24" s="15">
        <f t="shared" si="11"/>
        <v>11.986530000000002</v>
      </c>
      <c r="T24" s="15">
        <f t="shared" si="12"/>
        <v>11.355660000000002</v>
      </c>
      <c r="U24" s="15">
        <f t="shared" si="13"/>
        <v>11.986530000000002</v>
      </c>
      <c r="V24" s="15">
        <f t="shared" si="14"/>
        <v>10.72479</v>
      </c>
      <c r="W24" s="19">
        <f t="shared" si="0"/>
        <v>218.20680000000002</v>
      </c>
      <c r="X24" s="15">
        <f t="shared" si="15"/>
        <v>152.74476</v>
      </c>
      <c r="Y24" s="15">
        <f t="shared" si="16"/>
        <v>152.74476</v>
      </c>
      <c r="Z24" s="19">
        <f t="shared" si="1"/>
        <v>241.85824</v>
      </c>
      <c r="AA24" s="15">
        <f t="shared" si="17"/>
        <v>72.55747199999999</v>
      </c>
      <c r="AB24" s="15">
        <f t="shared" si="18"/>
        <v>25.395115199999996</v>
      </c>
      <c r="AC24" s="12">
        <f t="shared" si="19"/>
        <v>21.767241599999995</v>
      </c>
      <c r="AD24" s="58">
        <f t="shared" si="2"/>
        <v>124.78856</v>
      </c>
      <c r="AE24" s="15">
        <f t="shared" si="20"/>
        <v>31.19714</v>
      </c>
      <c r="AF24" s="15">
        <f t="shared" si="21"/>
        <v>9.359142</v>
      </c>
      <c r="AG24" s="48">
        <f t="shared" si="22"/>
        <v>6.239428</v>
      </c>
      <c r="AH24" s="85" t="s">
        <v>310</v>
      </c>
      <c r="AI24" s="19">
        <f t="shared" si="3"/>
        <v>19.792</v>
      </c>
      <c r="AJ24" s="15">
        <f t="shared" si="23"/>
        <v>3.9584000000000006</v>
      </c>
      <c r="AK24" s="15">
        <f t="shared" si="24"/>
        <v>3.9584000000000006</v>
      </c>
      <c r="AL24" s="15">
        <f t="shared" si="25"/>
        <v>2.3750400000000003</v>
      </c>
      <c r="AM24" s="49">
        <v>1</v>
      </c>
      <c r="AN24" s="16">
        <v>0.95</v>
      </c>
      <c r="AO24" s="49">
        <v>1</v>
      </c>
      <c r="AP24" s="16">
        <v>1</v>
      </c>
      <c r="AQ24" s="16">
        <v>0.95</v>
      </c>
      <c r="AR24" s="16">
        <v>1</v>
      </c>
      <c r="AS24" s="16">
        <v>0.8</v>
      </c>
      <c r="AT24" s="16">
        <v>0.85</v>
      </c>
      <c r="AU24" s="16">
        <v>0.85</v>
      </c>
      <c r="AV24" s="49">
        <v>0.95</v>
      </c>
      <c r="AW24" s="49">
        <v>0.8</v>
      </c>
    </row>
    <row r="25" spans="1:49" s="17" customFormat="1" ht="16.5" customHeight="1">
      <c r="A25" s="91" t="s">
        <v>311</v>
      </c>
      <c r="B25" s="92">
        <v>669</v>
      </c>
      <c r="C25" s="12">
        <f t="shared" si="4"/>
        <v>501.75</v>
      </c>
      <c r="D25" s="12">
        <f t="shared" si="5"/>
        <v>501.75</v>
      </c>
      <c r="E25" s="13">
        <v>12</v>
      </c>
      <c r="F25" s="13">
        <v>6</v>
      </c>
      <c r="G25" s="13">
        <v>6</v>
      </c>
      <c r="H25" s="13">
        <v>9</v>
      </c>
      <c r="I25" s="13">
        <v>12</v>
      </c>
      <c r="J25" s="14">
        <v>0.8</v>
      </c>
      <c r="K25" s="14">
        <v>0.95</v>
      </c>
      <c r="L25" s="14">
        <v>0.9</v>
      </c>
      <c r="M25" s="58">
        <f t="shared" si="6"/>
        <v>30.506400000000003</v>
      </c>
      <c r="N25" s="58">
        <f t="shared" si="7"/>
        <v>3.4119</v>
      </c>
      <c r="O25" s="15">
        <f t="shared" si="8"/>
        <v>2.04714</v>
      </c>
      <c r="P25" s="15">
        <f t="shared" si="9"/>
        <v>27.45576</v>
      </c>
      <c r="Q25" s="15">
        <f t="shared" si="10"/>
        <v>25.93044</v>
      </c>
      <c r="R25" s="91" t="s">
        <v>311</v>
      </c>
      <c r="S25" s="15">
        <f t="shared" si="11"/>
        <v>3.241305</v>
      </c>
      <c r="T25" s="15">
        <f t="shared" si="12"/>
        <v>3.07071</v>
      </c>
      <c r="U25" s="15">
        <f t="shared" si="13"/>
        <v>3.241305</v>
      </c>
      <c r="V25" s="15">
        <f t="shared" si="14"/>
        <v>2.900115</v>
      </c>
      <c r="W25" s="19">
        <f t="shared" si="0"/>
        <v>59.0058</v>
      </c>
      <c r="X25" s="15">
        <f t="shared" si="15"/>
        <v>41.30406</v>
      </c>
      <c r="Y25" s="15">
        <f t="shared" si="16"/>
        <v>41.30406</v>
      </c>
      <c r="Z25" s="19">
        <f t="shared" si="1"/>
        <v>65.40144</v>
      </c>
      <c r="AA25" s="15">
        <f t="shared" si="17"/>
        <v>19.620431999999997</v>
      </c>
      <c r="AB25" s="15">
        <f t="shared" si="18"/>
        <v>6.867151199999999</v>
      </c>
      <c r="AC25" s="12">
        <f t="shared" si="19"/>
        <v>5.886129599999999</v>
      </c>
      <c r="AD25" s="58">
        <f t="shared" si="2"/>
        <v>33.74436</v>
      </c>
      <c r="AE25" s="15">
        <f t="shared" si="20"/>
        <v>8.43609</v>
      </c>
      <c r="AF25" s="15">
        <f t="shared" si="21"/>
        <v>2.530827</v>
      </c>
      <c r="AG25" s="48">
        <f t="shared" si="22"/>
        <v>1.687218</v>
      </c>
      <c r="AH25" s="91" t="s">
        <v>311</v>
      </c>
      <c r="AI25" s="19">
        <f t="shared" si="3"/>
        <v>5.352</v>
      </c>
      <c r="AJ25" s="15">
        <f t="shared" si="23"/>
        <v>1.0704</v>
      </c>
      <c r="AK25" s="15">
        <f t="shared" si="24"/>
        <v>1.0704</v>
      </c>
      <c r="AL25" s="15">
        <f t="shared" si="25"/>
        <v>0.64224</v>
      </c>
      <c r="AM25" s="49">
        <v>1</v>
      </c>
      <c r="AN25" s="16">
        <v>0.95</v>
      </c>
      <c r="AO25" s="49">
        <v>1</v>
      </c>
      <c r="AP25" s="16">
        <v>1</v>
      </c>
      <c r="AQ25" s="16">
        <v>0.95</v>
      </c>
      <c r="AR25" s="16">
        <v>1</v>
      </c>
      <c r="AS25" s="16">
        <v>0.8</v>
      </c>
      <c r="AT25" s="16">
        <v>0.85</v>
      </c>
      <c r="AU25" s="16">
        <v>0.85</v>
      </c>
      <c r="AV25" s="49">
        <v>0.95</v>
      </c>
      <c r="AW25" s="49">
        <v>0.8</v>
      </c>
    </row>
    <row r="26" spans="1:49" s="17" customFormat="1" ht="16.5" customHeight="1">
      <c r="A26" s="91" t="s">
        <v>312</v>
      </c>
      <c r="B26" s="92">
        <v>1573</v>
      </c>
      <c r="C26" s="12">
        <f t="shared" si="4"/>
        <v>1179.75</v>
      </c>
      <c r="D26" s="12">
        <f t="shared" si="5"/>
        <v>1179.75</v>
      </c>
      <c r="E26" s="13">
        <v>12</v>
      </c>
      <c r="F26" s="13">
        <v>6</v>
      </c>
      <c r="G26" s="13">
        <v>6</v>
      </c>
      <c r="H26" s="13">
        <v>9</v>
      </c>
      <c r="I26" s="13">
        <v>12</v>
      </c>
      <c r="J26" s="14">
        <v>0.8</v>
      </c>
      <c r="K26" s="14">
        <v>0.95</v>
      </c>
      <c r="L26" s="14">
        <v>0.9</v>
      </c>
      <c r="M26" s="58">
        <f t="shared" si="6"/>
        <v>71.7288</v>
      </c>
      <c r="N26" s="58">
        <f t="shared" si="7"/>
        <v>8.022300000000001</v>
      </c>
      <c r="O26" s="15">
        <f t="shared" si="8"/>
        <v>4.81338</v>
      </c>
      <c r="P26" s="15">
        <f t="shared" si="9"/>
        <v>64.55592000000001</v>
      </c>
      <c r="Q26" s="15">
        <f t="shared" si="10"/>
        <v>60.969480000000004</v>
      </c>
      <c r="R26" s="91" t="s">
        <v>312</v>
      </c>
      <c r="S26" s="15">
        <f t="shared" si="11"/>
        <v>7.6211850000000005</v>
      </c>
      <c r="T26" s="15">
        <f t="shared" si="12"/>
        <v>7.2200700000000015</v>
      </c>
      <c r="U26" s="15">
        <f t="shared" si="13"/>
        <v>7.6211850000000005</v>
      </c>
      <c r="V26" s="15">
        <f t="shared" si="14"/>
        <v>6.818955000000001</v>
      </c>
      <c r="W26" s="19">
        <f t="shared" si="0"/>
        <v>138.7386</v>
      </c>
      <c r="X26" s="15">
        <f t="shared" si="15"/>
        <v>97.11701999999998</v>
      </c>
      <c r="Y26" s="15">
        <f t="shared" si="16"/>
        <v>97.11701999999998</v>
      </c>
      <c r="Z26" s="19">
        <f t="shared" si="1"/>
        <v>153.77648000000002</v>
      </c>
      <c r="AA26" s="15">
        <f t="shared" si="17"/>
        <v>46.132944</v>
      </c>
      <c r="AB26" s="15">
        <f t="shared" si="18"/>
        <v>16.1465304</v>
      </c>
      <c r="AC26" s="12">
        <f t="shared" si="19"/>
        <v>13.839883200000001</v>
      </c>
      <c r="AD26" s="58">
        <f>B26*0.52*0.097</f>
        <v>79.34212000000001</v>
      </c>
      <c r="AE26" s="15">
        <f t="shared" si="20"/>
        <v>19.835530000000002</v>
      </c>
      <c r="AF26" s="15">
        <f t="shared" si="21"/>
        <v>5.950659000000001</v>
      </c>
      <c r="AG26" s="48">
        <f t="shared" si="22"/>
        <v>3.9671060000000007</v>
      </c>
      <c r="AH26" s="91" t="s">
        <v>312</v>
      </c>
      <c r="AI26" s="19">
        <f>B26*8/1000</f>
        <v>12.584</v>
      </c>
      <c r="AJ26" s="15">
        <f t="shared" si="23"/>
        <v>2.5168</v>
      </c>
      <c r="AK26" s="15">
        <f t="shared" si="24"/>
        <v>2.5168</v>
      </c>
      <c r="AL26" s="15">
        <f t="shared" si="25"/>
        <v>1.5100799999999999</v>
      </c>
      <c r="AM26" s="49">
        <v>1</v>
      </c>
      <c r="AN26" s="16">
        <v>0.95</v>
      </c>
      <c r="AO26" s="49">
        <v>1</v>
      </c>
      <c r="AP26" s="16">
        <v>1</v>
      </c>
      <c r="AQ26" s="16">
        <v>0.95</v>
      </c>
      <c r="AR26" s="16">
        <v>1</v>
      </c>
      <c r="AS26" s="16">
        <v>0.8</v>
      </c>
      <c r="AT26" s="16">
        <v>0.85</v>
      </c>
      <c r="AU26" s="16">
        <v>0.85</v>
      </c>
      <c r="AV26" s="49">
        <v>0.95</v>
      </c>
      <c r="AW26" s="49">
        <v>0.8</v>
      </c>
    </row>
    <row r="27" spans="1:49" s="17" customFormat="1" ht="16.5" customHeight="1">
      <c r="A27" s="87" t="s">
        <v>313</v>
      </c>
      <c r="B27" s="88">
        <v>2077</v>
      </c>
      <c r="C27" s="12">
        <f t="shared" si="4"/>
        <v>1557.75</v>
      </c>
      <c r="D27" s="12">
        <f t="shared" si="5"/>
        <v>1557.75</v>
      </c>
      <c r="E27" s="13">
        <v>12</v>
      </c>
      <c r="F27" s="13">
        <v>6</v>
      </c>
      <c r="G27" s="13">
        <v>6</v>
      </c>
      <c r="H27" s="13">
        <v>9</v>
      </c>
      <c r="I27" s="13">
        <v>12</v>
      </c>
      <c r="J27" s="14">
        <v>0.8</v>
      </c>
      <c r="K27" s="14">
        <v>0.95</v>
      </c>
      <c r="L27" s="14">
        <v>0.9</v>
      </c>
      <c r="M27" s="58">
        <f t="shared" si="6"/>
        <v>94.7112</v>
      </c>
      <c r="N27" s="58">
        <f t="shared" si="7"/>
        <v>10.5927</v>
      </c>
      <c r="O27" s="15">
        <f t="shared" si="8"/>
        <v>6.35562</v>
      </c>
      <c r="P27" s="15">
        <f t="shared" si="9"/>
        <v>85.24008</v>
      </c>
      <c r="Q27" s="15">
        <f t="shared" si="10"/>
        <v>80.50452</v>
      </c>
      <c r="R27" s="87" t="s">
        <v>313</v>
      </c>
      <c r="S27" s="15">
        <f t="shared" si="11"/>
        <v>10.063065</v>
      </c>
      <c r="T27" s="15">
        <f t="shared" si="12"/>
        <v>9.533430000000001</v>
      </c>
      <c r="U27" s="15">
        <f t="shared" si="13"/>
        <v>10.063065</v>
      </c>
      <c r="V27" s="15">
        <f t="shared" si="14"/>
        <v>9.003795</v>
      </c>
      <c r="W27" s="19">
        <f t="shared" si="0"/>
        <v>183.1914</v>
      </c>
      <c r="X27" s="15">
        <f t="shared" si="15"/>
        <v>128.23397999999997</v>
      </c>
      <c r="Y27" s="15">
        <f t="shared" si="16"/>
        <v>128.23397999999997</v>
      </c>
      <c r="Z27" s="19">
        <f t="shared" si="1"/>
        <v>203.04752</v>
      </c>
      <c r="AA27" s="15">
        <f t="shared" si="17"/>
        <v>60.914255999999995</v>
      </c>
      <c r="AB27" s="15">
        <f t="shared" si="18"/>
        <v>21.319989599999996</v>
      </c>
      <c r="AC27" s="12">
        <f t="shared" si="19"/>
        <v>18.2742768</v>
      </c>
      <c r="AD27" s="58">
        <f>B27*0.52*0.097</f>
        <v>104.76388</v>
      </c>
      <c r="AE27" s="15">
        <f t="shared" si="20"/>
        <v>26.19097</v>
      </c>
      <c r="AF27" s="15">
        <f t="shared" si="21"/>
        <v>7.857291</v>
      </c>
      <c r="AG27" s="48">
        <f t="shared" si="22"/>
        <v>5.238194</v>
      </c>
      <c r="AH27" s="87" t="s">
        <v>313</v>
      </c>
      <c r="AI27" s="19">
        <f>B27*8/1000</f>
        <v>16.616</v>
      </c>
      <c r="AJ27" s="15">
        <f t="shared" si="23"/>
        <v>3.3232</v>
      </c>
      <c r="AK27" s="15">
        <f t="shared" si="24"/>
        <v>3.3232</v>
      </c>
      <c r="AL27" s="15">
        <f t="shared" si="25"/>
        <v>1.99392</v>
      </c>
      <c r="AM27" s="49">
        <v>1</v>
      </c>
      <c r="AN27" s="16">
        <v>0.95</v>
      </c>
      <c r="AO27" s="49">
        <v>1</v>
      </c>
      <c r="AP27" s="16">
        <v>1</v>
      </c>
      <c r="AQ27" s="16">
        <v>0.95</v>
      </c>
      <c r="AR27" s="16">
        <v>1</v>
      </c>
      <c r="AS27" s="16">
        <v>0.8</v>
      </c>
      <c r="AT27" s="16">
        <v>0.85</v>
      </c>
      <c r="AU27" s="16">
        <v>0.85</v>
      </c>
      <c r="AV27" s="49">
        <v>0.95</v>
      </c>
      <c r="AW27" s="49">
        <v>0.8</v>
      </c>
    </row>
    <row r="28" spans="1:49" s="23" customFormat="1" ht="16.5" customHeight="1">
      <c r="A28" s="62" t="s">
        <v>26</v>
      </c>
      <c r="B28" s="18">
        <f>SUM(B7:B27)</f>
        <v>73993</v>
      </c>
      <c r="C28" s="19">
        <f>SUM(C7:C27)</f>
        <v>55494.75</v>
      </c>
      <c r="D28" s="19">
        <f>SUM(D7:D27)</f>
        <v>55494.75</v>
      </c>
      <c r="E28" s="18">
        <v>12</v>
      </c>
      <c r="F28" s="18">
        <v>6</v>
      </c>
      <c r="G28" s="18">
        <f>SUM(G7:G27)</f>
        <v>126</v>
      </c>
      <c r="H28" s="18">
        <f>SUM(H7:H27)</f>
        <v>189</v>
      </c>
      <c r="I28" s="18">
        <f>SUM(I7:I27)</f>
        <v>252</v>
      </c>
      <c r="J28" s="20">
        <v>0.8</v>
      </c>
      <c r="K28" s="20">
        <v>0.95</v>
      </c>
      <c r="L28" s="20">
        <v>0.9</v>
      </c>
      <c r="M28" s="21">
        <f>SUM(M7:M27)</f>
        <v>3374.0808</v>
      </c>
      <c r="N28" s="21">
        <f>SUM(N7:N27)</f>
        <v>377.3643</v>
      </c>
      <c r="O28" s="19">
        <f>SUM(O7:O27)</f>
        <v>239.43735</v>
      </c>
      <c r="P28" s="19">
        <f>SUM(P7:P27)</f>
        <v>3036.672719999999</v>
      </c>
      <c r="Q28" s="19">
        <f>SUM(Q7:Q27)</f>
        <v>2867.9686800000004</v>
      </c>
      <c r="R28" s="62" t="s">
        <v>26</v>
      </c>
      <c r="S28" s="19">
        <f aca="true" t="shared" si="26" ref="S28:AG28">SUM(S7:S27)</f>
        <v>358.49608500000005</v>
      </c>
      <c r="T28" s="19">
        <f>SUM(T7:T27)</f>
        <v>339.6278700000001</v>
      </c>
      <c r="U28" s="19">
        <f>SUM(U7:U27)</f>
        <v>358.49608500000005</v>
      </c>
      <c r="V28" s="19">
        <f t="shared" si="26"/>
        <v>320.75965500000007</v>
      </c>
      <c r="W28" s="19">
        <f t="shared" si="26"/>
        <v>6526.182600000001</v>
      </c>
      <c r="X28" s="19">
        <f t="shared" si="26"/>
        <v>4568.32782</v>
      </c>
      <c r="Y28" s="19">
        <f t="shared" si="26"/>
        <v>4568.32782</v>
      </c>
      <c r="Z28" s="19">
        <f t="shared" si="26"/>
        <v>7233.555680000002</v>
      </c>
      <c r="AA28" s="19">
        <f t="shared" si="26"/>
        <v>2170.066704</v>
      </c>
      <c r="AB28" s="19">
        <f t="shared" si="26"/>
        <v>759.5233463999997</v>
      </c>
      <c r="AC28" s="22">
        <f t="shared" si="26"/>
        <v>651.0200112000001</v>
      </c>
      <c r="AD28" s="19">
        <f t="shared" si="26"/>
        <v>3732.20692</v>
      </c>
      <c r="AE28" s="19">
        <f t="shared" si="26"/>
        <v>933.05173</v>
      </c>
      <c r="AF28" s="22">
        <f t="shared" si="26"/>
        <v>279.915519</v>
      </c>
      <c r="AG28" s="22">
        <f t="shared" si="26"/>
        <v>186.61034600000002</v>
      </c>
      <c r="AH28" s="62" t="s">
        <v>26</v>
      </c>
      <c r="AI28" s="22">
        <f>SUM(AI7:AI27)</f>
        <v>591.944</v>
      </c>
      <c r="AJ28" s="22">
        <f>SUM(AJ7:AJ27)</f>
        <v>118.38880000000005</v>
      </c>
      <c r="AK28" s="22">
        <f>SUM(AK7:AK27)</f>
        <v>118.38880000000005</v>
      </c>
      <c r="AL28" s="22">
        <f>SUM(AL7:AL27)</f>
        <v>71.03328000000002</v>
      </c>
      <c r="AM28" s="109">
        <v>1</v>
      </c>
      <c r="AN28" s="50">
        <v>0.95</v>
      </c>
      <c r="AO28" s="109">
        <v>1</v>
      </c>
      <c r="AP28" s="50">
        <v>1</v>
      </c>
      <c r="AQ28" s="50">
        <v>0.95</v>
      </c>
      <c r="AR28" s="50">
        <v>1</v>
      </c>
      <c r="AS28" s="50">
        <v>0.8</v>
      </c>
      <c r="AT28" s="50">
        <v>0.85</v>
      </c>
      <c r="AU28" s="50">
        <v>0.85</v>
      </c>
      <c r="AV28" s="109">
        <v>0.95</v>
      </c>
      <c r="AW28" s="109">
        <v>0.8</v>
      </c>
    </row>
    <row r="29" spans="1:39" s="26" customFormat="1" ht="16.5" customHeight="1">
      <c r="A29" s="150" t="s">
        <v>85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24"/>
      <c r="AK29" s="24"/>
      <c r="AL29" s="24"/>
      <c r="AM29" s="25"/>
    </row>
    <row r="30" spans="12:39" ht="14.25">
      <c r="L30" s="64"/>
      <c r="AM30" s="64"/>
    </row>
    <row r="31" spans="12:39" ht="14.25">
      <c r="L31" s="64"/>
      <c r="AM31" s="64"/>
    </row>
  </sheetData>
  <sheetProtection/>
  <mergeCells count="67">
    <mergeCell ref="AV5:AV6"/>
    <mergeCell ref="AM3:AU4"/>
    <mergeCell ref="AV3:AV4"/>
    <mergeCell ref="AW3:AW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1:Q1"/>
    <mergeCell ref="R1:AG1"/>
    <mergeCell ref="A2:B2"/>
    <mergeCell ref="C2:AB2"/>
    <mergeCell ref="AD2:AI2"/>
    <mergeCell ref="AH1:AW1"/>
    <mergeCell ref="A3:A4"/>
    <mergeCell ref="B3:B6"/>
    <mergeCell ref="C3:D4"/>
    <mergeCell ref="E3:J4"/>
    <mergeCell ref="J5:J6"/>
    <mergeCell ref="AD3:AG4"/>
    <mergeCell ref="AH3:AH4"/>
    <mergeCell ref="K3:L4"/>
    <mergeCell ref="M3:Q4"/>
    <mergeCell ref="R3:R4"/>
    <mergeCell ref="S3:V4"/>
    <mergeCell ref="AI3:AL4"/>
    <mergeCell ref="C5:C6"/>
    <mergeCell ref="D5:D6"/>
    <mergeCell ref="E5:E6"/>
    <mergeCell ref="F5:F6"/>
    <mergeCell ref="G5:G6"/>
    <mergeCell ref="H5:H6"/>
    <mergeCell ref="I5:I6"/>
    <mergeCell ref="W3:Y4"/>
    <mergeCell ref="Z3:AC4"/>
    <mergeCell ref="K5:K6"/>
    <mergeCell ref="L5:L6"/>
    <mergeCell ref="M5:M6"/>
    <mergeCell ref="N5:N6"/>
    <mergeCell ref="O5:O6"/>
    <mergeCell ref="P5:P6"/>
    <mergeCell ref="Q5:Q6"/>
    <mergeCell ref="S5:S6"/>
    <mergeCell ref="T5:T6"/>
    <mergeCell ref="U5:U6"/>
    <mergeCell ref="V5:V6"/>
    <mergeCell ref="W5:W6"/>
    <mergeCell ref="AE5:AE6"/>
    <mergeCell ref="X5:X6"/>
    <mergeCell ref="Y5:Y6"/>
    <mergeCell ref="Z5:Z6"/>
    <mergeCell ref="AA5:AA6"/>
    <mergeCell ref="A29:AI29"/>
    <mergeCell ref="AK5:AK6"/>
    <mergeCell ref="AL5:AL6"/>
    <mergeCell ref="AF5:AF6"/>
    <mergeCell ref="AG5:AG6"/>
    <mergeCell ref="AI5:AI6"/>
    <mergeCell ref="AJ5:AJ6"/>
    <mergeCell ref="AB5:AB6"/>
    <mergeCell ref="AC5:AC6"/>
    <mergeCell ref="AD5:AD6"/>
  </mergeCells>
  <printOptions/>
  <pageMargins left="0.7480314960629921" right="0.7480314960629921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2013-04-25T00:57:51Z</cp:lastPrinted>
  <dcterms:created xsi:type="dcterms:W3CDTF">1996-12-17T01:32:42Z</dcterms:created>
  <dcterms:modified xsi:type="dcterms:W3CDTF">2013-08-07T09:30:30Z</dcterms:modified>
  <cp:category/>
  <cp:version/>
  <cp:contentType/>
  <cp:contentStatus/>
</cp:coreProperties>
</file>